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C2B2029-4E23-413F-B911-F1659707D6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5" i="2" l="1"/>
  <c r="C15" i="2"/>
  <c r="E15" i="2"/>
  <c r="G14" i="2"/>
  <c r="C14" i="2"/>
  <c r="G13" i="2"/>
  <c r="C13" i="2"/>
  <c r="G12" i="2"/>
  <c r="C12" i="2"/>
  <c r="G11" i="2"/>
  <c r="C11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1" i="1"/>
  <c r="G11" i="1"/>
  <c r="E14" i="1"/>
  <c r="Q25" i="1"/>
  <c r="Q26" i="1"/>
  <c r="Q22" i="1"/>
  <c r="Q23" i="1"/>
  <c r="Q24" i="1"/>
  <c r="C21" i="1"/>
  <c r="C17" i="1"/>
  <c r="C7" i="1"/>
  <c r="E26" i="1"/>
  <c r="F26" i="1"/>
  <c r="G26" i="1"/>
  <c r="I26" i="1"/>
  <c r="C8" i="1"/>
  <c r="E21" i="1"/>
  <c r="F21" i="1"/>
  <c r="E14" i="2"/>
  <c r="E11" i="2"/>
  <c r="E23" i="1"/>
  <c r="F23" i="1"/>
  <c r="G23" i="1"/>
  <c r="I23" i="1"/>
  <c r="Q21" i="1"/>
  <c r="E25" i="1"/>
  <c r="F25" i="1"/>
  <c r="G25" i="1"/>
  <c r="I25" i="1"/>
  <c r="E22" i="1"/>
  <c r="F22" i="1"/>
  <c r="G22" i="1"/>
  <c r="I22" i="1"/>
  <c r="G21" i="1"/>
  <c r="E24" i="1"/>
  <c r="F24" i="1"/>
  <c r="G24" i="1"/>
  <c r="I24" i="1"/>
  <c r="H21" i="1"/>
  <c r="E13" i="2"/>
  <c r="E12" i="2"/>
  <c r="C12" i="1"/>
  <c r="C16" i="1" l="1"/>
  <c r="D18" i="1" s="1"/>
  <c r="E15" i="1"/>
  <c r="C11" i="1"/>
  <c r="C15" i="1" l="1"/>
  <c r="O23" i="1"/>
  <c r="O24" i="1"/>
  <c r="O25" i="1"/>
  <c r="O21" i="1"/>
  <c r="O22" i="1"/>
  <c r="O26" i="1"/>
  <c r="C18" i="1" l="1"/>
  <c r="E16" i="1"/>
  <c r="E17" i="1" s="1"/>
</calcChain>
</file>

<file path=xl/sharedStrings.xml><?xml version="1.0" encoding="utf-8"?>
<sst xmlns="http://schemas.openxmlformats.org/spreadsheetml/2006/main" count="108" uniqueCount="82">
  <si>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</si>
  <si>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</si>
  <si>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</si>
  <si>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</si>
  <si>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</si>
  <si>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</si>
  <si>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</si>
  <si>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</si>
  <si>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</si>
  <si>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</si>
  <si>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</si>
  <si>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</si>
  <si>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</si>
  <si>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</si>
  <si>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</si>
  <si>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</si>
  <si>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</si>
  <si>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</si>
  <si>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</si>
  <si>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</si>
  <si>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</si>
  <si>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</si>
  <si>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</si>
  <si>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</si>
  <si>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</si>
  <si>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</si>
  <si>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</si>
  <si>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</si>
  <si>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</si>
  <si>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</si>
  <si>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</si>
  <si>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EA/SD</t>
  </si>
  <si>
    <t>IBVS 5263</t>
  </si>
  <si>
    <t>I</t>
  </si>
  <si>
    <t>IBVS 5287</t>
  </si>
  <si>
    <t># of data points:</t>
  </si>
  <si>
    <t>KO Lac / na</t>
  </si>
  <si>
    <t>22 14 30.87 +53 28 59.7</t>
  </si>
  <si>
    <t>OEJV 0160</t>
  </si>
  <si>
    <t>Add cycle</t>
  </si>
  <si>
    <t>JD today</t>
  </si>
  <si>
    <t>Old Cycle</t>
  </si>
  <si>
    <t>New Cycle</t>
  </si>
  <si>
    <t>Next ToM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</si>
  <si>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</si>
  <si>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</si>
  <si>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</si>
  <si>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</si>
  <si>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</si>
  <si>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</si>
  <si>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</si>
  <si>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</si>
  <si>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</si>
  <si>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</si>
  <si>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</si>
  <si>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</si>
  <si>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</si>
  <si>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</si>
  <si>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2451535.3059 </t>
  </si>
  <si>
    <t> 22.12.1999 19:20 </t>
  </si>
  <si>
    <t> 0.1225 </t>
  </si>
  <si>
    <t>E </t>
  </si>
  <si>
    <t>?</t>
  </si>
  <si>
    <t> M.Zejda </t>
  </si>
  <si>
    <t>IBVS 5263 </t>
  </si>
  <si>
    <t>2451697.4261 </t>
  </si>
  <si>
    <t> 01.06.2000 22:13 </t>
  </si>
  <si>
    <t> 0.1232 </t>
  </si>
  <si>
    <t>IBVS 5287 </t>
  </si>
  <si>
    <t>2451778.4849 </t>
  </si>
  <si>
    <t> 21.08.2000 23:38 </t>
  </si>
  <si>
    <t> 0.1222 </t>
  </si>
  <si>
    <t>2456105.47701 </t>
  </si>
  <si>
    <t> 26.06.2012 23:26 </t>
  </si>
  <si>
    <t> 0.16533 </t>
  </si>
  <si>
    <t>C </t>
  </si>
  <si>
    <t> M.Lehky </t>
  </si>
  <si>
    <t>OEJV 0160 </t>
  </si>
  <si>
    <t>2456105.47733 </t>
  </si>
  <si>
    <t> 26.06.2012 23:27 </t>
  </si>
  <si>
    <t> 0.16565 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</si>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</sst>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15" fillId="0" borderId="0" xfId="0" applyFont="1">
      <alignment vertical="top"/>
    </xf>
    <xf numFmtId="0" fontId="0" fillId="0" borderId="0" xfId="0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Lac - O-C Diagr.</a:t>
            </a:r>
          </a:p>
        </c:rich>
      </c:tx>
      <c:layout>
        <c:manualLayout>
          <c:xMode val="edge"/>
          <c:yMode val="edge"/>
          <c:x val="0.378029418374399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17863</c:v>
                </c:pt>
                <c:pt idx="2">
                  <c:v>18021</c:v>
                </c:pt>
                <c:pt idx="3">
                  <c:v>18100</c:v>
                </c:pt>
                <c:pt idx="4">
                  <c:v>22317</c:v>
                </c:pt>
                <c:pt idx="5">
                  <c:v>22317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47-4EA9-8EFA-22DCF216EE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17863</c:v>
                </c:pt>
                <c:pt idx="2">
                  <c:v>18021</c:v>
                </c:pt>
                <c:pt idx="3">
                  <c:v>18100</c:v>
                </c:pt>
                <c:pt idx="4">
                  <c:v>22317</c:v>
                </c:pt>
                <c:pt idx="5">
                  <c:v>22317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0.12247360000037588</c:v>
                </c:pt>
                <c:pt idx="2">
                  <c:v>0.1231712000007974</c:v>
                </c:pt>
                <c:pt idx="3">
                  <c:v>0.12222000000474509</c:v>
                </c:pt>
                <c:pt idx="4">
                  <c:v>0.16533240000717342</c:v>
                </c:pt>
                <c:pt idx="5">
                  <c:v>0.1656524000063655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47-4EA9-8EFA-22DCF216EE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17863</c:v>
                </c:pt>
                <c:pt idx="2">
                  <c:v>18021</c:v>
                </c:pt>
                <c:pt idx="3">
                  <c:v>18100</c:v>
                </c:pt>
                <c:pt idx="4">
                  <c:v>22317</c:v>
                </c:pt>
                <c:pt idx="5">
                  <c:v>22317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47-4EA9-8EFA-22DCF216EE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17863</c:v>
                </c:pt>
                <c:pt idx="2">
                  <c:v>18021</c:v>
                </c:pt>
                <c:pt idx="3">
                  <c:v>18100</c:v>
                </c:pt>
                <c:pt idx="4">
                  <c:v>22317</c:v>
                </c:pt>
                <c:pt idx="5">
                  <c:v>22317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47-4EA9-8EFA-22DCF216EE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17863</c:v>
                </c:pt>
                <c:pt idx="2">
                  <c:v>18021</c:v>
                </c:pt>
                <c:pt idx="3">
                  <c:v>18100</c:v>
                </c:pt>
                <c:pt idx="4">
                  <c:v>22317</c:v>
                </c:pt>
                <c:pt idx="5">
                  <c:v>22317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47-4EA9-8EFA-22DCF216EE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17863</c:v>
                </c:pt>
                <c:pt idx="2">
                  <c:v>18021</c:v>
                </c:pt>
                <c:pt idx="3">
                  <c:v>18100</c:v>
                </c:pt>
                <c:pt idx="4">
                  <c:v>22317</c:v>
                </c:pt>
                <c:pt idx="5">
                  <c:v>22317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47-4EA9-8EFA-22DCF216EE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1.37E-2</c:v>
                  </c:pt>
                  <c:pt idx="2">
                    <c:v>1.06E-2</c:v>
                  </c:pt>
                  <c:pt idx="3">
                    <c:v>6.7999999999999996E-3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17863</c:v>
                </c:pt>
                <c:pt idx="2">
                  <c:v>18021</c:v>
                </c:pt>
                <c:pt idx="3">
                  <c:v>18100</c:v>
                </c:pt>
                <c:pt idx="4">
                  <c:v>22317</c:v>
                </c:pt>
                <c:pt idx="5">
                  <c:v>22317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47-4EA9-8EFA-22DCF216EE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17863</c:v>
                </c:pt>
                <c:pt idx="2">
                  <c:v>18021</c:v>
                </c:pt>
                <c:pt idx="3">
                  <c:v>18100</c:v>
                </c:pt>
                <c:pt idx="4">
                  <c:v>22317</c:v>
                </c:pt>
                <c:pt idx="5">
                  <c:v>22317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-3.0003883781129642E-3</c:v>
                </c:pt>
                <c:pt idx="1">
                  <c:v>0.12684533989397689</c:v>
                </c:pt>
                <c:pt idx="2">
                  <c:v>0.12799383819028715</c:v>
                </c:pt>
                <c:pt idx="3">
                  <c:v>0.12856808733844227</c:v>
                </c:pt>
                <c:pt idx="4">
                  <c:v>0.15922136148743199</c:v>
                </c:pt>
                <c:pt idx="5">
                  <c:v>0.15922136148743199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47-4EA9-8EFA-22DCF216E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22408"/>
        <c:axId val="1"/>
      </c:scatterChart>
      <c:valAx>
        <c:axId val="68512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22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2024539877300615"/>
          <c:w val="0.723748489435589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0</xdr:rowOff>
    </xdr:from>
    <xdr:to>
      <xdr:col>15</xdr:col>
      <xdr:colOff>381000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C3C833-FC9D-9853-D1DB-1EB37C227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287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konkoly.hu/cgi-bin/IBVS?5263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4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  <c r="C1" s="18" t="s">
        <v>37</v>
      </c>
    </row>
    <row r="2" spans="1:7">
      <c r="A2" t="s">
        <v>25</v>
      </c>
      <c r="B2" t="s">
        <v>31</v>
      </c>
    </row>
    <row r="3" spans="1:7" ht="13.5" thickBot="1"/>
    <row r="4" spans="1:7" ht="14.25" thickTop="1" thickBot="1">
      <c r="A4" s="8" t="s">
        <v>0</v>
      </c>
      <c r="C4" s="3">
        <v>33206.445</v>
      </c>
      <c r="D4" s="4">
        <v>1.0260727999999999</v>
      </c>
    </row>
    <row r="5" spans="1:7" ht="13.5" thickTop="1"/>
    <row r="6" spans="1:7">
      <c r="A6" s="8" t="s">
        <v>1</v>
      </c>
    </row>
    <row r="7" spans="1:7">
      <c r="A7" t="s">
        <v>2</v>
      </c>
      <c r="C7">
        <f>+C4</f>
        <v>33206.445</v>
      </c>
    </row>
    <row r="8" spans="1:7">
      <c r="A8" t="s">
        <v>3</v>
      </c>
      <c r="C8">
        <f>+D4</f>
        <v>1.0260727999999999</v>
      </c>
    </row>
    <row r="9" spans="1:7">
      <c r="A9" s="27" t="s">
        <v>44</v>
      </c>
      <c r="B9" s="28"/>
      <c r="C9" s="23">
        <v>-9.5</v>
      </c>
      <c r="D9" s="28" t="s">
        <v>45</v>
      </c>
    </row>
    <row r="10" spans="1:7" ht="13.5" thickBot="1">
      <c r="C10" s="7" t="s">
        <v>20</v>
      </c>
      <c r="D10" s="7" t="s">
        <v>21</v>
      </c>
    </row>
    <row r="11" spans="1:7">
      <c r="A11" t="s">
        <v>16</v>
      </c>
      <c r="C11" s="32">
        <f ca="1">INTERCEPT(INDIRECT($G$11):G992,INDIRECT($F$11):F992)</f>
        <v>-3.0003883781129642E-3</v>
      </c>
      <c r="D11" s="6"/>
      <c r="F11" s="29" t="str">
        <f>"F"&amp;E19</f>
        <v>F21</v>
      </c>
      <c r="G11" s="25" t="str">
        <f>"G"&amp;E19</f>
        <v>G21</v>
      </c>
    </row>
    <row r="12" spans="1:7">
      <c r="A12" t="s">
        <v>17</v>
      </c>
      <c r="C12" s="32">
        <f ca="1">SLOPE(INDIRECT($G$11):G992,INDIRECT($F$11):F992)</f>
        <v>7.2689765589257046E-6</v>
      </c>
      <c r="D12" s="6"/>
    </row>
    <row r="13" spans="1:7">
      <c r="A13" t="s">
        <v>19</v>
      </c>
      <c r="C13" s="6" t="s">
        <v>14</v>
      </c>
      <c r="D13" s="22" t="s">
        <v>39</v>
      </c>
      <c r="E13" s="23">
        <v>1</v>
      </c>
    </row>
    <row r="14" spans="1:7">
      <c r="A14" t="s">
        <v>24</v>
      </c>
      <c r="D14" s="22" t="s">
        <v>40</v>
      </c>
      <c r="E14" s="24">
        <f ca="1">NOW()+15018.5+$C$9/24</f>
        <v>60357.6573005787</v>
      </c>
    </row>
    <row r="15" spans="1:7">
      <c r="A15" s="5" t="s">
        <v>18</v>
      </c>
      <c r="C15" s="13">
        <f ca="1">(C7+C11)+(C8+C12)*INT(MAX(F21:F3533))</f>
        <v>56105.470898961481</v>
      </c>
      <c r="D15" s="22" t="s">
        <v>41</v>
      </c>
      <c r="E15" s="24">
        <f ca="1">ROUND(2*(E14-$C$7)/$C$8,0)/2+E13</f>
        <v>26462.5</v>
      </c>
    </row>
    <row r="16" spans="1:7">
      <c r="A16" s="8" t="s">
        <v>4</v>
      </c>
      <c r="C16" s="14">
        <f ca="1">+C8+C12</f>
        <v>1.0260800689765588</v>
      </c>
      <c r="D16" s="22" t="s">
        <v>42</v>
      </c>
      <c r="E16" s="25">
        <f ca="1">ROUND(2*(E14-$C$15)/$C$16,0)/2+E13</f>
        <v>4145</v>
      </c>
    </row>
    <row r="17" spans="1:17" ht="13.5" thickBot="1">
      <c r="A17" s="15" t="s">
        <v>35</v>
      </c>
      <c r="C17">
        <f>COUNT(C21:C2191)</f>
        <v>6</v>
      </c>
      <c r="D17" s="22" t="s">
        <v>43</v>
      </c>
      <c r="E17" s="26">
        <f ca="1">+$C$15+$C$16*E16-15018.5-$C$9/24</f>
        <v>45340.468618202656</v>
      </c>
    </row>
    <row r="18" spans="1:17">
      <c r="A18" s="8" t="s">
        <v>5</v>
      </c>
      <c r="C18" s="3">
        <f ca="1">+C15</f>
        <v>56105.470898961481</v>
      </c>
      <c r="D18" s="4">
        <f ca="1">+C16</f>
        <v>1.0260800689765588</v>
      </c>
    </row>
    <row r="19" spans="1:17" ht="13.5" thickTop="1">
      <c r="A19" s="30" t="s">
        <v>46</v>
      </c>
      <c r="E19" s="31">
        <v>21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49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C21" s="16">
        <f>+C4</f>
        <v>33206.445</v>
      </c>
      <c r="D21" s="16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-3.0003883781129642E-3</v>
      </c>
      <c r="Q21" s="2">
        <f t="shared" ref="Q21:Q26" si="4">+C21-15018.5</f>
        <v>18187.945</v>
      </c>
    </row>
    <row r="22" spans="1:17">
      <c r="A22" s="11" t="s">
        <v>32</v>
      </c>
      <c r="B22" s="12" t="s">
        <v>33</v>
      </c>
      <c r="C22" s="17">
        <v>51535.305899999999</v>
      </c>
      <c r="D22" s="17">
        <v>1.37E-2</v>
      </c>
      <c r="E22">
        <f t="shared" si="0"/>
        <v>17863.119361511192</v>
      </c>
      <c r="F22">
        <f t="shared" si="1"/>
        <v>17863</v>
      </c>
      <c r="G22">
        <f t="shared" si="2"/>
        <v>0.12247360000037588</v>
      </c>
      <c r="I22">
        <f>+G22</f>
        <v>0.12247360000037588</v>
      </c>
      <c r="O22">
        <f t="shared" ca="1" si="3"/>
        <v>0.12684533989397689</v>
      </c>
      <c r="Q22" s="2">
        <f t="shared" si="4"/>
        <v>36516.805899999999</v>
      </c>
    </row>
    <row r="23" spans="1:17">
      <c r="A23" s="11" t="s">
        <v>34</v>
      </c>
      <c r="B23" s="12" t="s">
        <v>33</v>
      </c>
      <c r="C23" s="17">
        <v>51697.426099999997</v>
      </c>
      <c r="D23" s="17">
        <v>1.06E-2</v>
      </c>
      <c r="E23">
        <f t="shared" si="0"/>
        <v>18021.120041384977</v>
      </c>
      <c r="F23">
        <f t="shared" si="1"/>
        <v>18021</v>
      </c>
      <c r="G23">
        <f t="shared" si="2"/>
        <v>0.1231712000007974</v>
      </c>
      <c r="I23">
        <f>+G23</f>
        <v>0.1231712000007974</v>
      </c>
      <c r="O23">
        <f t="shared" ca="1" si="3"/>
        <v>0.12799383819028715</v>
      </c>
      <c r="Q23" s="2">
        <f t="shared" si="4"/>
        <v>36678.926099999997</v>
      </c>
    </row>
    <row r="24" spans="1:17">
      <c r="A24" s="11" t="s">
        <v>34</v>
      </c>
      <c r="B24" s="12" t="s">
        <v>33</v>
      </c>
      <c r="C24" s="17">
        <v>51778.484900000003</v>
      </c>
      <c r="D24" s="17">
        <v>6.7999999999999996E-3</v>
      </c>
      <c r="E24">
        <f t="shared" si="0"/>
        <v>18100.119114355242</v>
      </c>
      <c r="F24">
        <f t="shared" si="1"/>
        <v>18100</v>
      </c>
      <c r="G24">
        <f t="shared" si="2"/>
        <v>0.12222000000474509</v>
      </c>
      <c r="I24">
        <f>+G24</f>
        <v>0.12222000000474509</v>
      </c>
      <c r="O24">
        <f t="shared" ca="1" si="3"/>
        <v>0.12856808733844227</v>
      </c>
      <c r="Q24" s="2">
        <f t="shared" si="4"/>
        <v>36759.984900000003</v>
      </c>
    </row>
    <row r="25" spans="1:17">
      <c r="A25" s="19" t="s">
        <v>38</v>
      </c>
      <c r="B25" s="20" t="s">
        <v>33</v>
      </c>
      <c r="C25" s="21">
        <v>56105.477010000002</v>
      </c>
      <c r="D25" s="21">
        <v>8.0000000000000004E-4</v>
      </c>
      <c r="E25">
        <f t="shared" si="0"/>
        <v>22317.161131256969</v>
      </c>
      <c r="F25">
        <f t="shared" si="1"/>
        <v>22317</v>
      </c>
      <c r="G25">
        <f t="shared" si="2"/>
        <v>0.16533240000717342</v>
      </c>
      <c r="I25">
        <f>+G25</f>
        <v>0.16533240000717342</v>
      </c>
      <c r="O25">
        <f t="shared" ca="1" si="3"/>
        <v>0.15922136148743199</v>
      </c>
      <c r="Q25" s="2">
        <f t="shared" si="4"/>
        <v>41086.977010000002</v>
      </c>
    </row>
    <row r="26" spans="1:17">
      <c r="A26" s="19" t="s">
        <v>38</v>
      </c>
      <c r="B26" s="20" t="s">
        <v>33</v>
      </c>
      <c r="C26" s="21">
        <v>56105.477330000002</v>
      </c>
      <c r="D26" s="21">
        <v>4.0000000000000002E-4</v>
      </c>
      <c r="E26">
        <f t="shared" si="0"/>
        <v>22317.161443125678</v>
      </c>
      <c r="F26">
        <f t="shared" si="1"/>
        <v>22317</v>
      </c>
      <c r="G26">
        <f t="shared" si="2"/>
        <v>0.1656524000063655</v>
      </c>
      <c r="I26">
        <f>+G26</f>
        <v>0.1656524000063655</v>
      </c>
      <c r="O26">
        <f t="shared" ca="1" si="3"/>
        <v>0.15922136148743199</v>
      </c>
      <c r="Q26" s="2">
        <f t="shared" si="4"/>
        <v>41086.977330000002</v>
      </c>
    </row>
    <row r="27" spans="1:17">
      <c r="C27" s="16"/>
      <c r="D27" s="16"/>
      <c r="Q27" s="2"/>
    </row>
    <row r="28" spans="1:17">
      <c r="C28" s="16"/>
      <c r="D28" s="16"/>
      <c r="Q28" s="2"/>
    </row>
    <row r="29" spans="1:17">
      <c r="C29" s="16"/>
      <c r="D29" s="16"/>
      <c r="Q29" s="2"/>
    </row>
    <row r="30" spans="1:17">
      <c r="C30" s="16"/>
      <c r="D30" s="16"/>
      <c r="Q30" s="2"/>
    </row>
    <row r="31" spans="1:17">
      <c r="C31" s="16"/>
      <c r="D31" s="16"/>
      <c r="Q31" s="2"/>
    </row>
    <row r="32" spans="1:17">
      <c r="C32" s="16"/>
      <c r="D32" s="16"/>
      <c r="Q32" s="2"/>
    </row>
    <row r="33" spans="3:17">
      <c r="C33" s="16"/>
      <c r="D33" s="16"/>
      <c r="Q33" s="2"/>
    </row>
    <row r="34" spans="3:17">
      <c r="C34" s="16"/>
      <c r="D34" s="16"/>
    </row>
    <row r="35" spans="3:17">
      <c r="C35" s="16"/>
      <c r="D35" s="16"/>
    </row>
    <row r="36" spans="3:17">
      <c r="C36" s="16"/>
      <c r="D36" s="16"/>
    </row>
    <row r="37" spans="3:17">
      <c r="C37" s="16"/>
      <c r="D37" s="16"/>
    </row>
    <row r="38" spans="3:17">
      <c r="C38" s="16"/>
      <c r="D38" s="16"/>
    </row>
    <row r="39" spans="3:17">
      <c r="C39" s="16"/>
      <c r="D39" s="16"/>
    </row>
    <row r="40" spans="3:17">
      <c r="C40" s="16"/>
      <c r="D40" s="16"/>
    </row>
    <row r="41" spans="3:17">
      <c r="C41" s="16"/>
      <c r="D41" s="16"/>
    </row>
    <row r="42" spans="3:17">
      <c r="C42" s="16"/>
      <c r="D42" s="16"/>
    </row>
    <row r="43" spans="3:17">
      <c r="C43" s="16"/>
      <c r="D43" s="16"/>
    </row>
    <row r="44" spans="3:17">
      <c r="C44" s="16"/>
      <c r="D44" s="16"/>
    </row>
    <row r="45" spans="3:17">
      <c r="C45" s="16"/>
      <c r="D45" s="16"/>
    </row>
    <row r="46" spans="3:17">
      <c r="C46" s="16"/>
      <c r="D46" s="16"/>
    </row>
    <row r="47" spans="3:17">
      <c r="C47" s="16"/>
      <c r="D47" s="16"/>
    </row>
    <row r="48" spans="3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9"/>
  <sheetViews>
    <sheetView workbookViewId="0">
      <selection activeCell="A11" sqref="A11:IV448"/>
    </sheetView>
  </sheetViews>
  <sheetFormatPr defaultRowHeight="12.75"/>
  <cols>
    <col min="1" max="1" width="19.7109375" style="16" customWidth="1"/>
    <col min="2" max="2" width="4.42578125" style="28" customWidth="1"/>
    <col min="3" max="3" width="12.7109375" style="16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6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33" t="s">
        <v>47</v>
      </c>
      <c r="I1" s="34" t="s">
        <v>48</v>
      </c>
      <c r="J1" s="35" t="s">
        <v>49</v>
      </c>
    </row>
    <row r="2" spans="1:16">
      <c r="I2" s="36" t="s">
        <v>50</v>
      </c>
      <c r="J2" s="37" t="s">
        <v>51</v>
      </c>
    </row>
    <row r="3" spans="1:16">
      <c r="A3" s="38" t="s">
        <v>52</v>
      </c>
      <c r="I3" s="36" t="s">
        <v>53</v>
      </c>
      <c r="J3" s="37" t="s">
        <v>54</v>
      </c>
    </row>
    <row r="4" spans="1:16">
      <c r="I4" s="36" t="s">
        <v>55</v>
      </c>
      <c r="J4" s="37" t="s">
        <v>54</v>
      </c>
    </row>
    <row r="5" spans="1:16" ht="13.5" thickBot="1">
      <c r="I5" s="39" t="s">
        <v>56</v>
      </c>
      <c r="J5" s="40" t="s">
        <v>57</v>
      </c>
    </row>
    <row r="10" spans="1:16" ht="13.5" thickBot="1"/>
    <row r="11" spans="1:16" ht="12.75" customHeight="1" thickBot="1">
      <c r="A11" s="16" t="str">
        <f>P11</f>
        <v>IBVS 5263 </v>
      </c>
      <c r="B11" s="6" t="str">
        <f>IF(H11=INT(H11),"I","II")</f>
        <v>I</v>
      </c>
      <c r="C11" s="16">
        <f>1*G11</f>
        <v>51535.305899999999</v>
      </c>
      <c r="D11" s="28" t="str">
        <f>VLOOKUP(F11,I$1:J$5,2,FALSE)</f>
        <v>vis</v>
      </c>
      <c r="E11" s="41">
        <f>VLOOKUP(C11,Active!C$21:E$973,3,FALSE)</f>
        <v>17863.119361511192</v>
      </c>
      <c r="F11" s="6" t="s">
        <v>56</v>
      </c>
      <c r="G11" s="28" t="str">
        <f>MID(I11,3,LEN(I11)-3)</f>
        <v>51535.3059</v>
      </c>
      <c r="H11" s="16">
        <f>1*K11</f>
        <v>17863</v>
      </c>
      <c r="I11" s="42" t="s">
        <v>58</v>
      </c>
      <c r="J11" s="43" t="s">
        <v>59</v>
      </c>
      <c r="K11" s="42">
        <v>17863</v>
      </c>
      <c r="L11" s="42" t="s">
        <v>60</v>
      </c>
      <c r="M11" s="43" t="s">
        <v>61</v>
      </c>
      <c r="N11" s="43" t="s">
        <v>62</v>
      </c>
      <c r="O11" s="44" t="s">
        <v>63</v>
      </c>
      <c r="P11" s="45" t="s">
        <v>64</v>
      </c>
    </row>
    <row r="12" spans="1:16" ht="12.75" customHeight="1" thickBot="1">
      <c r="A12" s="16" t="str">
        <f>P12</f>
        <v>IBVS 5287 </v>
      </c>
      <c r="B12" s="6" t="str">
        <f>IF(H12=INT(H12),"I","II")</f>
        <v>I</v>
      </c>
      <c r="C12" s="16">
        <f>1*G12</f>
        <v>51697.426099999997</v>
      </c>
      <c r="D12" s="28" t="str">
        <f>VLOOKUP(F12,I$1:J$5,2,FALSE)</f>
        <v>vis</v>
      </c>
      <c r="E12" s="41">
        <f>VLOOKUP(C12,Active!C$21:E$973,3,FALSE)</f>
        <v>18021.120041384977</v>
      </c>
      <c r="F12" s="6" t="s">
        <v>56</v>
      </c>
      <c r="G12" s="28" t="str">
        <f>MID(I12,3,LEN(I12)-3)</f>
        <v>51697.4261</v>
      </c>
      <c r="H12" s="16">
        <f>1*K12</f>
        <v>18021</v>
      </c>
      <c r="I12" s="42" t="s">
        <v>65</v>
      </c>
      <c r="J12" s="43" t="s">
        <v>66</v>
      </c>
      <c r="K12" s="42">
        <v>18021</v>
      </c>
      <c r="L12" s="42" t="s">
        <v>67</v>
      </c>
      <c r="M12" s="43" t="s">
        <v>61</v>
      </c>
      <c r="N12" s="43" t="s">
        <v>62</v>
      </c>
      <c r="O12" s="44" t="s">
        <v>63</v>
      </c>
      <c r="P12" s="45" t="s">
        <v>68</v>
      </c>
    </row>
    <row r="13" spans="1:16" ht="12.75" customHeight="1" thickBot="1">
      <c r="A13" s="16" t="str">
        <f>P13</f>
        <v>IBVS 5287 </v>
      </c>
      <c r="B13" s="6" t="str">
        <f>IF(H13=INT(H13),"I","II")</f>
        <v>I</v>
      </c>
      <c r="C13" s="16">
        <f>1*G13</f>
        <v>51778.484900000003</v>
      </c>
      <c r="D13" s="28" t="str">
        <f>VLOOKUP(F13,I$1:J$5,2,FALSE)</f>
        <v>vis</v>
      </c>
      <c r="E13" s="41">
        <f>VLOOKUP(C13,Active!C$21:E$973,3,FALSE)</f>
        <v>18100.119114355242</v>
      </c>
      <c r="F13" s="6" t="s">
        <v>56</v>
      </c>
      <c r="G13" s="28" t="str">
        <f>MID(I13,3,LEN(I13)-3)</f>
        <v>51778.4849</v>
      </c>
      <c r="H13" s="16">
        <f>1*K13</f>
        <v>18100</v>
      </c>
      <c r="I13" s="42" t="s">
        <v>69</v>
      </c>
      <c r="J13" s="43" t="s">
        <v>70</v>
      </c>
      <c r="K13" s="42">
        <v>18100</v>
      </c>
      <c r="L13" s="42" t="s">
        <v>71</v>
      </c>
      <c r="M13" s="43" t="s">
        <v>61</v>
      </c>
      <c r="N13" s="43" t="s">
        <v>62</v>
      </c>
      <c r="O13" s="44" t="s">
        <v>63</v>
      </c>
      <c r="P13" s="45" t="s">
        <v>68</v>
      </c>
    </row>
    <row r="14" spans="1:16" ht="12.75" customHeight="1" thickBot="1">
      <c r="A14" s="16" t="str">
        <f>P14</f>
        <v>OEJV 0160 </v>
      </c>
      <c r="B14" s="6" t="str">
        <f>IF(H14=INT(H14),"I","II")</f>
        <v>I</v>
      </c>
      <c r="C14" s="16">
        <f>1*G14</f>
        <v>56105.477010000002</v>
      </c>
      <c r="D14" s="28" t="str">
        <f>VLOOKUP(F14,I$1:J$5,2,FALSE)</f>
        <v>vis</v>
      </c>
      <c r="E14" s="41">
        <f>VLOOKUP(C14,Active!C$21:E$973,3,FALSE)</f>
        <v>22317.161131256969</v>
      </c>
      <c r="F14" s="6" t="s">
        <v>56</v>
      </c>
      <c r="G14" s="28" t="str">
        <f>MID(I14,3,LEN(I14)-3)</f>
        <v>56105.47701</v>
      </c>
      <c r="H14" s="16">
        <f>1*K14</f>
        <v>22317</v>
      </c>
      <c r="I14" s="42" t="s">
        <v>72</v>
      </c>
      <c r="J14" s="43" t="s">
        <v>73</v>
      </c>
      <c r="K14" s="42">
        <v>22317</v>
      </c>
      <c r="L14" s="42" t="s">
        <v>74</v>
      </c>
      <c r="M14" s="43" t="s">
        <v>75</v>
      </c>
      <c r="N14" s="43" t="s">
        <v>56</v>
      </c>
      <c r="O14" s="44" t="s">
        <v>76</v>
      </c>
      <c r="P14" s="45" t="s">
        <v>77</v>
      </c>
    </row>
    <row r="15" spans="1:16" ht="12.75" customHeight="1" thickBot="1">
      <c r="A15" s="16" t="str">
        <f>P15</f>
        <v>OEJV 0160 </v>
      </c>
      <c r="B15" s="6" t="str">
        <f>IF(H15=INT(H15),"I","II")</f>
        <v>I</v>
      </c>
      <c r="C15" s="16">
        <f>1*G15</f>
        <v>56105.477330000002</v>
      </c>
      <c r="D15" s="28" t="str">
        <f>VLOOKUP(F15,I$1:J$5,2,FALSE)</f>
        <v>vis</v>
      </c>
      <c r="E15" s="41">
        <f>VLOOKUP(C15,Active!C$21:E$973,3,FALSE)</f>
        <v>22317.161443125678</v>
      </c>
      <c r="F15" s="6" t="s">
        <v>56</v>
      </c>
      <c r="G15" s="28" t="str">
        <f>MID(I15,3,LEN(I15)-3)</f>
        <v>56105.47733</v>
      </c>
      <c r="H15" s="16">
        <f>1*K15</f>
        <v>22317</v>
      </c>
      <c r="I15" s="42" t="s">
        <v>78</v>
      </c>
      <c r="J15" s="43" t="s">
        <v>79</v>
      </c>
      <c r="K15" s="42">
        <v>22317</v>
      </c>
      <c r="L15" s="42" t="s">
        <v>80</v>
      </c>
      <c r="M15" s="43" t="s">
        <v>75</v>
      </c>
      <c r="N15" s="43" t="s">
        <v>81</v>
      </c>
      <c r="O15" s="44" t="s">
        <v>76</v>
      </c>
      <c r="P15" s="45" t="s">
        <v>77</v>
      </c>
    </row>
    <row r="16" spans="1:16">
      <c r="B16" s="6"/>
      <c r="E16" s="41"/>
      <c r="F16" s="6"/>
    </row>
    <row r="17" spans="2:6">
      <c r="B17" s="6"/>
      <c r="E17" s="41"/>
      <c r="F17" s="6"/>
    </row>
    <row r="18" spans="2:6">
      <c r="B18" s="6"/>
      <c r="E18" s="41"/>
      <c r="F18" s="6"/>
    </row>
    <row r="19" spans="2:6">
      <c r="B19" s="6"/>
      <c r="E19" s="41"/>
      <c r="F19" s="6"/>
    </row>
    <row r="20" spans="2:6">
      <c r="B20" s="6"/>
      <c r="E20" s="41"/>
      <c r="F20" s="6"/>
    </row>
    <row r="21" spans="2:6">
      <c r="B21" s="6"/>
      <c r="E21" s="41"/>
      <c r="F21" s="6"/>
    </row>
    <row r="22" spans="2:6">
      <c r="B22" s="6"/>
      <c r="E22" s="41"/>
      <c r="F22" s="6"/>
    </row>
    <row r="23" spans="2:6">
      <c r="B23" s="6"/>
      <c r="E23" s="41"/>
      <c r="F23" s="6"/>
    </row>
    <row r="24" spans="2:6">
      <c r="B24" s="6"/>
      <c r="E24" s="41"/>
      <c r="F24" s="6"/>
    </row>
    <row r="25" spans="2:6">
      <c r="B25" s="6"/>
      <c r="E25" s="41"/>
      <c r="F25" s="6"/>
    </row>
    <row r="26" spans="2:6">
      <c r="B26" s="6"/>
      <c r="E26" s="41"/>
      <c r="F26" s="6"/>
    </row>
    <row r="27" spans="2:6">
      <c r="B27" s="6"/>
      <c r="E27" s="41"/>
      <c r="F27" s="6"/>
    </row>
    <row r="28" spans="2:6">
      <c r="B28" s="6"/>
      <c r="E28" s="41"/>
      <c r="F28" s="6"/>
    </row>
    <row r="29" spans="2:6">
      <c r="B29" s="6"/>
      <c r="E29" s="41"/>
      <c r="F29" s="6"/>
    </row>
    <row r="30" spans="2:6">
      <c r="B30" s="6"/>
      <c r="E30" s="41"/>
      <c r="F30" s="6"/>
    </row>
    <row r="31" spans="2:6">
      <c r="B31" s="6"/>
      <c r="E31" s="41"/>
      <c r="F31" s="6"/>
    </row>
    <row r="32" spans="2: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</sheetData>
  <phoneticPr fontId="7" type="noConversion"/>
  <hyperlinks>
    <hyperlink ref="P11" r:id="rId1" display="http://www.konkoly.hu/cgi-bin/IBVS?5263"/>
    <hyperlink ref="P12" r:id="rId2" display="http://www.konkoly.hu/cgi-bin/IBVS?5287"/>
    <hyperlink ref="P13" r:id="rId3" display="http://www.konkoly.hu/cgi-bin/IBVS?5287"/>
    <hyperlink ref="P14" r:id="rId4" display="http://var.astro.cz/oejv/issues/oejv0160.pdf"/>
    <hyperlink ref="P15" r:id="rId5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2024-02-17T02:46:30Z</dcterms:modified>
</cp:coreProperties>
</file>