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A58BF3-26E6-4346-8A6C-A86AA6E98D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24" i="1"/>
  <c r="F24" i="1"/>
  <c r="G24" i="1"/>
  <c r="H24" i="1"/>
  <c r="Q21" i="1"/>
  <c r="Q22" i="1"/>
  <c r="Q23" i="1"/>
  <c r="Q25" i="1"/>
  <c r="Q26" i="1"/>
  <c r="Q27" i="1"/>
  <c r="Q28" i="1"/>
  <c r="Q29" i="1"/>
  <c r="Q30" i="1"/>
  <c r="Q31" i="1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24" i="1"/>
  <c r="C11" i="1"/>
  <c r="C12" i="1"/>
  <c r="C16" i="1" l="1"/>
  <c r="D18" i="1" s="1"/>
  <c r="O22" i="1"/>
  <c r="O23" i="1"/>
  <c r="O31" i="1"/>
  <c r="O21" i="1"/>
  <c r="O28" i="1"/>
  <c r="C15" i="1"/>
  <c r="F18" i="1" s="1"/>
  <c r="O24" i="1"/>
  <c r="O27" i="1"/>
  <c r="O26" i="1"/>
  <c r="O30" i="1"/>
  <c r="O25" i="1"/>
  <c r="O29" i="1"/>
  <c r="F17" i="1"/>
  <c r="C18" i="1" l="1"/>
  <c r="F19" i="1"/>
</calcChain>
</file>

<file path=xl/sharedStrings.xml><?xml version="1.0" encoding="utf-8"?>
<sst xmlns="http://schemas.openxmlformats.org/spreadsheetml/2006/main" count="152" uniqueCount="87">
  <si>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</si>
  <si>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</si>
  <si>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</si>
  <si>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</si>
  <si>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</si>
  <si>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</si>
  <si>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</si>
  <si>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</si>
  <si>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</si>
  <si>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</si>
  <si>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</si>
  <si>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</si>
  <si>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</si>
  <si>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</si>
  <si>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</si>
  <si>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</si>
  <si>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</si>
  <si>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</si>
  <si>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</si>
  <si>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</si>
  <si>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</si>
  <si>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</si>
  <si>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</si>
  <si>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</si>
  <si>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</si>
  <si>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</si>
  <si>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</si>
  <si>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</si>
  <si>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</si>
  <si>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</si>
  <si>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</si>
  <si>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</si>
  <si>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</si>
  <si>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</si>
  <si>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</si>
  <si>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</si>
  <si>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</si>
  <si>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</si>
  <si>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</si>
  <si>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</si>
  <si>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</si>
  <si>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</si>
  <si>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</si>
  <si>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</si>
  <si>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</si>
  <si>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</si>
  <si>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</si>
  <si>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</si>
  <si>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KY Lac</t>
  </si>
  <si>
    <t>EA</t>
  </si>
  <si>
    <t>GCVS 4</t>
  </si>
  <si>
    <t>2432803.300 </t>
  </si>
  <si>
    <t> 08.09.1948 19:12 </t>
  </si>
  <si>
    <t> 0.042 </t>
  </si>
  <si>
    <t>P </t>
  </si>
  <si>
    <t> Miller &amp; Wachmann </t>
  </si>
  <si>
    <t> RIA 8.230 </t>
  </si>
  <si>
    <t>2433127.260 </t>
  </si>
  <si>
    <t> 29.07.1949 18:14 </t>
  </si>
  <si>
    <t> 0.018 </t>
  </si>
  <si>
    <t>2433204.350 </t>
  </si>
  <si>
    <t> 14.10.1949 20:24 </t>
  </si>
  <si>
    <t> -0.031 </t>
  </si>
  <si>
    <t>2433250.660 </t>
  </si>
  <si>
    <t> 30.11.1949 03:50 </t>
  </si>
  <si>
    <t> -0.004 </t>
  </si>
  <si>
    <t>2433528.365 </t>
  </si>
  <si>
    <t> 03.09.1950 20:45 </t>
  </si>
  <si>
    <t> 0.000 </t>
  </si>
  <si>
    <t>2434392.340 </t>
  </si>
  <si>
    <t> 14.01.1953 20:09 </t>
  </si>
  <si>
    <t>2434716.305 </t>
  </si>
  <si>
    <t> 04.12.1953 19:19 </t>
  </si>
  <si>
    <t> -0.000 </t>
  </si>
  <si>
    <t>2437940.636 </t>
  </si>
  <si>
    <t> 03.10.1962 03:15 </t>
  </si>
  <si>
    <t> -0.080 </t>
  </si>
  <si>
    <t> K.Häussler </t>
  </si>
  <si>
    <t> VSS 10.237 </t>
  </si>
  <si>
    <t>2444142.391 </t>
  </si>
  <si>
    <t> 25.09.1979 21:23 </t>
  </si>
  <si>
    <t> -0.300 </t>
  </si>
  <si>
    <t>2444173.347 </t>
  </si>
  <si>
    <t> 26.10.1979 20:19 </t>
  </si>
  <si>
    <t> -0.200 </t>
  </si>
  <si>
    <t>I</t>
  </si>
  <si>
    <t>KY Lac / GSC 33204.381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</si>
</sst>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KY Lac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4.1799999999057036E-2</c:v>
                </c:pt>
                <c:pt idx="1">
                  <c:v>1.8000000003667083E-2</c:v>
                </c:pt>
                <c:pt idx="2">
                  <c:v>-3.1000000002677552E-2</c:v>
                </c:pt>
                <c:pt idx="3">
                  <c:v>0</c:v>
                </c:pt>
                <c:pt idx="4">
                  <c:v>-4.3999999979860149E-3</c:v>
                </c:pt>
                <c:pt idx="5">
                  <c:v>1.9999999494757503E-4</c:v>
                </c:pt>
                <c:pt idx="6">
                  <c:v>1.8399999993562233E-2</c:v>
                </c:pt>
                <c:pt idx="7">
                  <c:v>-3.9999999717110768E-4</c:v>
                </c:pt>
                <c:pt idx="8">
                  <c:v>-7.9600000004575122E-2</c:v>
                </c:pt>
                <c:pt idx="9">
                  <c:v>-0.30019999999785796</c:v>
                </c:pt>
                <c:pt idx="10">
                  <c:v>-0.19979999999486608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F-48D2-B906-D790B525D1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F-48D2-B906-D790B525D1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F-48D2-B906-D790B525D1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F-48D2-B906-D790B525D1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CF-48D2-B906-D790B525D1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CF-48D2-B906-D790B525D1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CF-48D2-B906-D790B525D1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2.2877765364817823E-2</c:v>
                </c:pt>
                <c:pt idx="1">
                  <c:v>1.5284109335769307E-2</c:v>
                </c:pt>
                <c:pt idx="2">
                  <c:v>1.347609599551966E-2</c:v>
                </c:pt>
                <c:pt idx="3">
                  <c:v>1.347609599551966E-2</c:v>
                </c:pt>
                <c:pt idx="4">
                  <c:v>1.2391287991369872E-2</c:v>
                </c:pt>
                <c:pt idx="5">
                  <c:v>5.8824399664711433E-3</c:v>
                </c:pt>
                <c:pt idx="6">
                  <c:v>-1.4367309444324902E-2</c:v>
                </c:pt>
                <c:pt idx="7">
                  <c:v>-2.1960965473373416E-2</c:v>
                </c:pt>
                <c:pt idx="8">
                  <c:v>-9.7535923095808663E-2</c:v>
                </c:pt>
                <c:pt idx="9">
                  <c:v>-0.24290019565188029</c:v>
                </c:pt>
                <c:pt idx="10">
                  <c:v>-0.2436234009879801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CF-48D2-B906-D790B525D1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77</c:v>
                </c:pt>
                <c:pt idx="7">
                  <c:v>98</c:v>
                </c:pt>
                <c:pt idx="8">
                  <c:v>307</c:v>
                </c:pt>
                <c:pt idx="9">
                  <c:v>709</c:v>
                </c:pt>
                <c:pt idx="10">
                  <c:v>711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CF-48D2-B906-D790B525D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980432"/>
        <c:axId val="1"/>
      </c:scatterChart>
      <c:valAx>
        <c:axId val="696980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980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4EDE5C-B026-121B-EB2F-52B0B2A51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86</v>
      </c>
      <c r="F1" s="50" t="s">
        <v>48</v>
      </c>
      <c r="G1" s="32">
        <v>22.184429999999999</v>
      </c>
      <c r="H1" s="33">
        <v>50.251399999999997</v>
      </c>
      <c r="I1" s="34">
        <v>33204.381000000001</v>
      </c>
      <c r="J1" s="34">
        <v>15.4278</v>
      </c>
      <c r="K1" s="31" t="s">
        <v>49</v>
      </c>
      <c r="L1" s="33"/>
      <c r="M1" s="34">
        <v>33204.381000000001</v>
      </c>
      <c r="N1" s="34">
        <v>15.4278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33204.381000000001</v>
      </c>
      <c r="D4" s="28">
        <v>15.4278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33204.381000000001</v>
      </c>
      <c r="D7" s="29" t="s">
        <v>50</v>
      </c>
    </row>
    <row r="8" spans="1:15" x14ac:dyDescent="0.2">
      <c r="A8" t="s">
        <v>3</v>
      </c>
      <c r="C8" s="54">
        <v>15.4278</v>
      </c>
      <c r="D8" s="29" t="s">
        <v>50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1.347609599551966E-2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-3.6160266804992938E-4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44173.303176599016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15.427438397331949</v>
      </c>
      <c r="E16" s="14" t="s">
        <v>30</v>
      </c>
      <c r="F16" s="36">
        <f ca="1">NOW()+15018.5+$C$5/24</f>
        <v>60357.659145254627</v>
      </c>
    </row>
    <row r="17" spans="1:18" ht="13.5" thickBot="1" x14ac:dyDescent="0.25">
      <c r="A17" s="14" t="s">
        <v>27</v>
      </c>
      <c r="B17" s="10"/>
      <c r="C17" s="10">
        <f>COUNT(C21:C2191)</f>
        <v>11</v>
      </c>
      <c r="E17" s="14" t="s">
        <v>35</v>
      </c>
      <c r="F17" s="15">
        <f ca="1">ROUND(2*(F16-$C$7)/$C$8,0)/2+F15</f>
        <v>1761</v>
      </c>
    </row>
    <row r="18" spans="1:18" ht="14.25" thickTop="1" thickBot="1" x14ac:dyDescent="0.25">
      <c r="A18" s="16" t="s">
        <v>5</v>
      </c>
      <c r="B18" s="10"/>
      <c r="C18" s="19">
        <f ca="1">+C15</f>
        <v>44173.303176599016</v>
      </c>
      <c r="D18" s="20">
        <f ca="1">+C16</f>
        <v>15.427438397331949</v>
      </c>
      <c r="E18" s="14" t="s">
        <v>36</v>
      </c>
      <c r="F18" s="23">
        <f ca="1">ROUND(2*(F16-$C$15)/$C$16,0)/2+F15</f>
        <v>1050</v>
      </c>
    </row>
    <row r="19" spans="1:18" ht="13.5" thickTop="1" x14ac:dyDescent="0.2">
      <c r="E19" s="14" t="s">
        <v>31</v>
      </c>
      <c r="F19" s="18">
        <f ca="1">+$C$15+$C$16*F18-15018.5-$C$5/24</f>
        <v>45354.009327130894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1" t="s">
        <v>56</v>
      </c>
      <c r="B21" s="53" t="s">
        <v>85</v>
      </c>
      <c r="C21" s="52">
        <v>32803.300000000003</v>
      </c>
      <c r="D21" s="8"/>
      <c r="E21">
        <f t="shared" ref="E21:E31" si="0">+(C21-C$7)/C$8</f>
        <v>-25.997290605270894</v>
      </c>
      <c r="F21">
        <f t="shared" ref="F21:F31" si="1">ROUND(2*E21,0)/2</f>
        <v>-26</v>
      </c>
      <c r="G21">
        <f t="shared" ref="G21:G31" si="2">+C21-(C$7+F21*C$8)</f>
        <v>4.1799999999057036E-2</v>
      </c>
      <c r="H21">
        <f t="shared" ref="H21:H31" si="3">+G21</f>
        <v>4.1799999999057036E-2</v>
      </c>
      <c r="O21">
        <f t="shared" ref="O21:O31" ca="1" si="4">+C$11+C$12*$F21</f>
        <v>2.2877765364817823E-2</v>
      </c>
      <c r="Q21" s="2">
        <f t="shared" ref="Q21:Q31" si="5">+C21-15018.5</f>
        <v>17784.800000000003</v>
      </c>
    </row>
    <row r="22" spans="1:18" x14ac:dyDescent="0.2">
      <c r="A22" s="51" t="s">
        <v>56</v>
      </c>
      <c r="B22" s="53" t="s">
        <v>85</v>
      </c>
      <c r="C22" s="52">
        <v>33127.26</v>
      </c>
      <c r="D22" s="8"/>
      <c r="E22">
        <f t="shared" si="0"/>
        <v>-4.9988332749970308</v>
      </c>
      <c r="F22">
        <f t="shared" si="1"/>
        <v>-5</v>
      </c>
      <c r="G22">
        <f t="shared" si="2"/>
        <v>1.8000000003667083E-2</v>
      </c>
      <c r="H22">
        <f t="shared" si="3"/>
        <v>1.8000000003667083E-2</v>
      </c>
      <c r="O22">
        <f t="shared" ca="1" si="4"/>
        <v>1.5284109335769307E-2</v>
      </c>
      <c r="Q22" s="2">
        <f t="shared" si="5"/>
        <v>18108.760000000002</v>
      </c>
    </row>
    <row r="23" spans="1:18" x14ac:dyDescent="0.2">
      <c r="A23" s="51" t="s">
        <v>56</v>
      </c>
      <c r="B23" s="53" t="s">
        <v>85</v>
      </c>
      <c r="C23" s="52">
        <v>33204.35</v>
      </c>
      <c r="D23" s="8"/>
      <c r="E23">
        <f t="shared" si="0"/>
        <v>-2.0093597274191753E-3</v>
      </c>
      <c r="F23">
        <f t="shared" si="1"/>
        <v>0</v>
      </c>
      <c r="G23">
        <f t="shared" si="2"/>
        <v>-3.1000000002677552E-2</v>
      </c>
      <c r="H23">
        <f t="shared" si="3"/>
        <v>-3.1000000002677552E-2</v>
      </c>
      <c r="O23">
        <f t="shared" ca="1" si="4"/>
        <v>1.347609599551966E-2</v>
      </c>
      <c r="Q23" s="2">
        <f t="shared" si="5"/>
        <v>18185.849999999999</v>
      </c>
    </row>
    <row r="24" spans="1:18" x14ac:dyDescent="0.2">
      <c r="A24" t="s">
        <v>50</v>
      </c>
      <c r="C24" s="8">
        <v>33204.381000000001</v>
      </c>
      <c r="D24" s="8" t="s">
        <v>13</v>
      </c>
      <c r="E24">
        <f t="shared" si="0"/>
        <v>0</v>
      </c>
      <c r="F24">
        <f t="shared" si="1"/>
        <v>0</v>
      </c>
      <c r="G24">
        <f t="shared" si="2"/>
        <v>0</v>
      </c>
      <c r="H24">
        <f t="shared" si="3"/>
        <v>0</v>
      </c>
      <c r="O24">
        <f t="shared" ca="1" si="4"/>
        <v>1.347609599551966E-2</v>
      </c>
      <c r="Q24" s="2">
        <f t="shared" si="5"/>
        <v>18185.881000000001</v>
      </c>
    </row>
    <row r="25" spans="1:18" x14ac:dyDescent="0.2">
      <c r="A25" s="51" t="s">
        <v>56</v>
      </c>
      <c r="B25" s="53" t="s">
        <v>85</v>
      </c>
      <c r="C25" s="52">
        <v>33250.660000000003</v>
      </c>
      <c r="D25" s="8"/>
      <c r="E25">
        <f t="shared" si="0"/>
        <v>2.9997148005549898</v>
      </c>
      <c r="F25">
        <f t="shared" si="1"/>
        <v>3</v>
      </c>
      <c r="G25">
        <f t="shared" si="2"/>
        <v>-4.3999999979860149E-3</v>
      </c>
      <c r="H25">
        <f t="shared" si="3"/>
        <v>-4.3999999979860149E-3</v>
      </c>
      <c r="O25">
        <f t="shared" ca="1" si="4"/>
        <v>1.2391287991369872E-2</v>
      </c>
      <c r="Q25" s="2">
        <f t="shared" si="5"/>
        <v>18232.160000000003</v>
      </c>
    </row>
    <row r="26" spans="1:18" x14ac:dyDescent="0.2">
      <c r="A26" s="51" t="s">
        <v>56</v>
      </c>
      <c r="B26" s="53" t="s">
        <v>85</v>
      </c>
      <c r="C26" s="52">
        <v>33528.364999999998</v>
      </c>
      <c r="D26" s="8"/>
      <c r="E26">
        <f t="shared" si="0"/>
        <v>21.000012963610931</v>
      </c>
      <c r="F26">
        <f t="shared" si="1"/>
        <v>21</v>
      </c>
      <c r="G26">
        <f t="shared" si="2"/>
        <v>1.9999999494757503E-4</v>
      </c>
      <c r="H26">
        <f t="shared" si="3"/>
        <v>1.9999999494757503E-4</v>
      </c>
      <c r="O26">
        <f t="shared" ca="1" si="4"/>
        <v>5.8824399664711433E-3</v>
      </c>
      <c r="Q26" s="2">
        <f t="shared" si="5"/>
        <v>18509.864999999998</v>
      </c>
    </row>
    <row r="27" spans="1:18" x14ac:dyDescent="0.2">
      <c r="A27" s="51" t="s">
        <v>56</v>
      </c>
      <c r="B27" s="53" t="s">
        <v>85</v>
      </c>
      <c r="C27" s="52">
        <v>34392.339999999997</v>
      </c>
      <c r="D27" s="8"/>
      <c r="E27">
        <f t="shared" si="0"/>
        <v>77.001192652224901</v>
      </c>
      <c r="F27">
        <f t="shared" si="1"/>
        <v>77</v>
      </c>
      <c r="G27">
        <f t="shared" si="2"/>
        <v>1.8399999993562233E-2</v>
      </c>
      <c r="H27">
        <f t="shared" si="3"/>
        <v>1.8399999993562233E-2</v>
      </c>
      <c r="O27">
        <f t="shared" ca="1" si="4"/>
        <v>-1.4367309444324902E-2</v>
      </c>
      <c r="Q27" s="2">
        <f t="shared" si="5"/>
        <v>19373.839999999997</v>
      </c>
    </row>
    <row r="28" spans="1:18" x14ac:dyDescent="0.2">
      <c r="A28" s="51" t="s">
        <v>56</v>
      </c>
      <c r="B28" s="53" t="s">
        <v>85</v>
      </c>
      <c r="C28" s="52">
        <v>34716.305</v>
      </c>
      <c r="D28" s="8"/>
      <c r="E28">
        <f t="shared" si="0"/>
        <v>97.999974072777661</v>
      </c>
      <c r="F28">
        <f t="shared" si="1"/>
        <v>98</v>
      </c>
      <c r="G28">
        <f t="shared" si="2"/>
        <v>-3.9999999717110768E-4</v>
      </c>
      <c r="H28">
        <f t="shared" si="3"/>
        <v>-3.9999999717110768E-4</v>
      </c>
      <c r="O28">
        <f t="shared" ca="1" si="4"/>
        <v>-2.1960965473373416E-2</v>
      </c>
      <c r="Q28" s="2">
        <f t="shared" si="5"/>
        <v>19697.805</v>
      </c>
    </row>
    <row r="29" spans="1:18" x14ac:dyDescent="0.2">
      <c r="A29" s="51" t="s">
        <v>78</v>
      </c>
      <c r="B29" s="53" t="s">
        <v>85</v>
      </c>
      <c r="C29" s="52">
        <v>37940.635999999999</v>
      </c>
      <c r="D29" s="8"/>
      <c r="E29">
        <f t="shared" si="0"/>
        <v>306.99484048276474</v>
      </c>
      <c r="F29">
        <f t="shared" si="1"/>
        <v>307</v>
      </c>
      <c r="G29">
        <f t="shared" si="2"/>
        <v>-7.9600000004575122E-2</v>
      </c>
      <c r="H29">
        <f t="shared" si="3"/>
        <v>-7.9600000004575122E-2</v>
      </c>
      <c r="O29">
        <f t="shared" ca="1" si="4"/>
        <v>-9.7535923095808663E-2</v>
      </c>
      <c r="Q29" s="2">
        <f t="shared" si="5"/>
        <v>22922.135999999999</v>
      </c>
    </row>
    <row r="30" spans="1:18" x14ac:dyDescent="0.2">
      <c r="A30" s="51" t="s">
        <v>78</v>
      </c>
      <c r="B30" s="53" t="s">
        <v>85</v>
      </c>
      <c r="C30" s="52">
        <v>44142.391000000003</v>
      </c>
      <c r="D30" s="8"/>
      <c r="E30">
        <f t="shared" si="0"/>
        <v>708.98054161967377</v>
      </c>
      <c r="F30">
        <f t="shared" si="1"/>
        <v>709</v>
      </c>
      <c r="G30">
        <f t="shared" si="2"/>
        <v>-0.30019999999785796</v>
      </c>
      <c r="H30">
        <f t="shared" si="3"/>
        <v>-0.30019999999785796</v>
      </c>
      <c r="O30">
        <f t="shared" ca="1" si="4"/>
        <v>-0.24290019565188029</v>
      </c>
      <c r="Q30" s="2">
        <f t="shared" si="5"/>
        <v>29123.891000000003</v>
      </c>
    </row>
    <row r="31" spans="1:18" x14ac:dyDescent="0.2">
      <c r="A31" s="51" t="s">
        <v>78</v>
      </c>
      <c r="B31" s="53" t="s">
        <v>85</v>
      </c>
      <c r="C31" s="52">
        <v>44173.347000000002</v>
      </c>
      <c r="D31" s="8"/>
      <c r="E31">
        <f t="shared" si="0"/>
        <v>710.98704935246769</v>
      </c>
      <c r="F31">
        <f t="shared" si="1"/>
        <v>711</v>
      </c>
      <c r="G31">
        <f t="shared" si="2"/>
        <v>-0.19979999999486608</v>
      </c>
      <c r="H31">
        <f t="shared" si="3"/>
        <v>-0.19979999999486608</v>
      </c>
      <c r="O31">
        <f t="shared" ca="1" si="4"/>
        <v>-0.2436234009879801</v>
      </c>
      <c r="Q31" s="2">
        <f t="shared" si="5"/>
        <v>29154.847000000002</v>
      </c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11" sqref="A11:C20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0" si="0">P11</f>
        <v> RIA 8.230 </v>
      </c>
      <c r="B11" s="3" t="str">
        <f t="shared" ref="B11:B20" si="1">IF(H11=INT(H11),"I","II")</f>
        <v>I</v>
      </c>
      <c r="C11" s="8">
        <f t="shared" ref="C11:C20" si="2">1*G11</f>
        <v>32803.300000000003</v>
      </c>
      <c r="D11" s="10" t="str">
        <f t="shared" ref="D11:D20" si="3">VLOOKUP(F11,I$1:J$5,2,FALSE)</f>
        <v>vis</v>
      </c>
      <c r="E11" s="46">
        <f>VLOOKUP(C11,Active!C$21:E$973,3,FALSE)</f>
        <v>-25.997290605270894</v>
      </c>
      <c r="F11" s="3" t="s">
        <v>47</v>
      </c>
      <c r="G11" s="10" t="str">
        <f t="shared" ref="G11:G20" si="4">MID(I11,3,LEN(I11)-3)</f>
        <v>32803.300</v>
      </c>
      <c r="H11" s="8">
        <f t="shared" ref="H11:H20" si="5">1*K11</f>
        <v>-26</v>
      </c>
      <c r="I11" s="47" t="s">
        <v>51</v>
      </c>
      <c r="J11" s="48" t="s">
        <v>52</v>
      </c>
      <c r="K11" s="47">
        <v>-26</v>
      </c>
      <c r="L11" s="47" t="s">
        <v>53</v>
      </c>
      <c r="M11" s="48" t="s">
        <v>54</v>
      </c>
      <c r="N11" s="48"/>
      <c r="O11" s="49" t="s">
        <v>55</v>
      </c>
      <c r="P11" s="49" t="s">
        <v>56</v>
      </c>
    </row>
    <row r="12" spans="1:16" ht="12.75" customHeight="1" thickBot="1" x14ac:dyDescent="0.25">
      <c r="A12" s="8" t="str">
        <f t="shared" si="0"/>
        <v> RIA 8.230 </v>
      </c>
      <c r="B12" s="3" t="str">
        <f t="shared" si="1"/>
        <v>I</v>
      </c>
      <c r="C12" s="8">
        <f t="shared" si="2"/>
        <v>33127.26</v>
      </c>
      <c r="D12" s="10" t="str">
        <f t="shared" si="3"/>
        <v>vis</v>
      </c>
      <c r="E12" s="46">
        <f>VLOOKUP(C12,Active!C$21:E$973,3,FALSE)</f>
        <v>-4.9988332749970308</v>
      </c>
      <c r="F12" s="3" t="s">
        <v>47</v>
      </c>
      <c r="G12" s="10" t="str">
        <f t="shared" si="4"/>
        <v>33127.260</v>
      </c>
      <c r="H12" s="8">
        <f t="shared" si="5"/>
        <v>-5</v>
      </c>
      <c r="I12" s="47" t="s">
        <v>57</v>
      </c>
      <c r="J12" s="48" t="s">
        <v>58</v>
      </c>
      <c r="K12" s="47">
        <v>-5</v>
      </c>
      <c r="L12" s="47" t="s">
        <v>59</v>
      </c>
      <c r="M12" s="48" t="s">
        <v>54</v>
      </c>
      <c r="N12" s="48"/>
      <c r="O12" s="49" t="s">
        <v>55</v>
      </c>
      <c r="P12" s="49" t="s">
        <v>56</v>
      </c>
    </row>
    <row r="13" spans="1:16" ht="12.75" customHeight="1" thickBot="1" x14ac:dyDescent="0.25">
      <c r="A13" s="8" t="str">
        <f t="shared" si="0"/>
        <v> RIA 8.230 </v>
      </c>
      <c r="B13" s="3" t="str">
        <f t="shared" si="1"/>
        <v>I</v>
      </c>
      <c r="C13" s="8">
        <f t="shared" si="2"/>
        <v>33204.35</v>
      </c>
      <c r="D13" s="10" t="str">
        <f t="shared" si="3"/>
        <v>vis</v>
      </c>
      <c r="E13" s="46">
        <f>VLOOKUP(C13,Active!C$21:E$973,3,FALSE)</f>
        <v>-2.0093597274191753E-3</v>
      </c>
      <c r="F13" s="3" t="s">
        <v>47</v>
      </c>
      <c r="G13" s="10" t="str">
        <f t="shared" si="4"/>
        <v>33204.350</v>
      </c>
      <c r="H13" s="8">
        <f t="shared" si="5"/>
        <v>0</v>
      </c>
      <c r="I13" s="47" t="s">
        <v>60</v>
      </c>
      <c r="J13" s="48" t="s">
        <v>61</v>
      </c>
      <c r="K13" s="47">
        <v>0</v>
      </c>
      <c r="L13" s="47" t="s">
        <v>62</v>
      </c>
      <c r="M13" s="48" t="s">
        <v>54</v>
      </c>
      <c r="N13" s="48"/>
      <c r="O13" s="49" t="s">
        <v>55</v>
      </c>
      <c r="P13" s="49" t="s">
        <v>56</v>
      </c>
    </row>
    <row r="14" spans="1:16" ht="12.75" customHeight="1" thickBot="1" x14ac:dyDescent="0.25">
      <c r="A14" s="8" t="str">
        <f t="shared" si="0"/>
        <v> RIA 8.230 </v>
      </c>
      <c r="B14" s="3" t="str">
        <f t="shared" si="1"/>
        <v>I</v>
      </c>
      <c r="C14" s="8">
        <f t="shared" si="2"/>
        <v>33250.660000000003</v>
      </c>
      <c r="D14" s="10" t="str">
        <f t="shared" si="3"/>
        <v>vis</v>
      </c>
      <c r="E14" s="46">
        <f>VLOOKUP(C14,Active!C$21:E$973,3,FALSE)</f>
        <v>2.9997148005549898</v>
      </c>
      <c r="F14" s="3" t="s">
        <v>47</v>
      </c>
      <c r="G14" s="10" t="str">
        <f t="shared" si="4"/>
        <v>33250.660</v>
      </c>
      <c r="H14" s="8">
        <f t="shared" si="5"/>
        <v>3</v>
      </c>
      <c r="I14" s="47" t="s">
        <v>63</v>
      </c>
      <c r="J14" s="48" t="s">
        <v>64</v>
      </c>
      <c r="K14" s="47">
        <v>3</v>
      </c>
      <c r="L14" s="47" t="s">
        <v>65</v>
      </c>
      <c r="M14" s="48" t="s">
        <v>54</v>
      </c>
      <c r="N14" s="48"/>
      <c r="O14" s="49" t="s">
        <v>55</v>
      </c>
      <c r="P14" s="49" t="s">
        <v>56</v>
      </c>
    </row>
    <row r="15" spans="1:16" ht="12.75" customHeight="1" thickBot="1" x14ac:dyDescent="0.25">
      <c r="A15" s="8" t="str">
        <f t="shared" si="0"/>
        <v> RIA 8.230 </v>
      </c>
      <c r="B15" s="3" t="str">
        <f t="shared" si="1"/>
        <v>I</v>
      </c>
      <c r="C15" s="8">
        <f t="shared" si="2"/>
        <v>33528.364999999998</v>
      </c>
      <c r="D15" s="10" t="str">
        <f t="shared" si="3"/>
        <v>vis</v>
      </c>
      <c r="E15" s="46">
        <f>VLOOKUP(C15,Active!C$21:E$973,3,FALSE)</f>
        <v>21.000012963610931</v>
      </c>
      <c r="F15" s="3" t="s">
        <v>47</v>
      </c>
      <c r="G15" s="10" t="str">
        <f t="shared" si="4"/>
        <v>33528.365</v>
      </c>
      <c r="H15" s="8">
        <f t="shared" si="5"/>
        <v>21</v>
      </c>
      <c r="I15" s="47" t="s">
        <v>66</v>
      </c>
      <c r="J15" s="48" t="s">
        <v>67</v>
      </c>
      <c r="K15" s="47">
        <v>21</v>
      </c>
      <c r="L15" s="47" t="s">
        <v>68</v>
      </c>
      <c r="M15" s="48" t="s">
        <v>54</v>
      </c>
      <c r="N15" s="48"/>
      <c r="O15" s="49" t="s">
        <v>55</v>
      </c>
      <c r="P15" s="49" t="s">
        <v>56</v>
      </c>
    </row>
    <row r="16" spans="1:16" ht="12.75" customHeight="1" thickBot="1" x14ac:dyDescent="0.25">
      <c r="A16" s="8" t="str">
        <f t="shared" si="0"/>
        <v> RIA 8.230 </v>
      </c>
      <c r="B16" s="3" t="str">
        <f t="shared" si="1"/>
        <v>I</v>
      </c>
      <c r="C16" s="8">
        <f t="shared" si="2"/>
        <v>34392.339999999997</v>
      </c>
      <c r="D16" s="10" t="str">
        <f t="shared" si="3"/>
        <v>vis</v>
      </c>
      <c r="E16" s="46">
        <f>VLOOKUP(C16,Active!C$21:E$973,3,FALSE)</f>
        <v>77.001192652224901</v>
      </c>
      <c r="F16" s="3" t="s">
        <v>47</v>
      </c>
      <c r="G16" s="10" t="str">
        <f t="shared" si="4"/>
        <v>34392.340</v>
      </c>
      <c r="H16" s="8">
        <f t="shared" si="5"/>
        <v>77</v>
      </c>
      <c r="I16" s="47" t="s">
        <v>69</v>
      </c>
      <c r="J16" s="48" t="s">
        <v>70</v>
      </c>
      <c r="K16" s="47">
        <v>77</v>
      </c>
      <c r="L16" s="47" t="s">
        <v>59</v>
      </c>
      <c r="M16" s="48" t="s">
        <v>54</v>
      </c>
      <c r="N16" s="48"/>
      <c r="O16" s="49" t="s">
        <v>55</v>
      </c>
      <c r="P16" s="49" t="s">
        <v>56</v>
      </c>
    </row>
    <row r="17" spans="1:16" ht="12.75" customHeight="1" thickBot="1" x14ac:dyDescent="0.25">
      <c r="A17" s="8" t="str">
        <f t="shared" si="0"/>
        <v> RIA 8.230 </v>
      </c>
      <c r="B17" s="3" t="str">
        <f t="shared" si="1"/>
        <v>I</v>
      </c>
      <c r="C17" s="8">
        <f t="shared" si="2"/>
        <v>34716.305</v>
      </c>
      <c r="D17" s="10" t="str">
        <f t="shared" si="3"/>
        <v>vis</v>
      </c>
      <c r="E17" s="46">
        <f>VLOOKUP(C17,Active!C$21:E$973,3,FALSE)</f>
        <v>97.999974072777661</v>
      </c>
      <c r="F17" s="3" t="s">
        <v>47</v>
      </c>
      <c r="G17" s="10" t="str">
        <f t="shared" si="4"/>
        <v>34716.305</v>
      </c>
      <c r="H17" s="8">
        <f t="shared" si="5"/>
        <v>98</v>
      </c>
      <c r="I17" s="47" t="s">
        <v>71</v>
      </c>
      <c r="J17" s="48" t="s">
        <v>72</v>
      </c>
      <c r="K17" s="47">
        <v>98</v>
      </c>
      <c r="L17" s="47" t="s">
        <v>73</v>
      </c>
      <c r="M17" s="48" t="s">
        <v>54</v>
      </c>
      <c r="N17" s="48"/>
      <c r="O17" s="49" t="s">
        <v>55</v>
      </c>
      <c r="P17" s="49" t="s">
        <v>56</v>
      </c>
    </row>
    <row r="18" spans="1:16" ht="12.75" customHeight="1" thickBot="1" x14ac:dyDescent="0.25">
      <c r="A18" s="8" t="str">
        <f t="shared" si="0"/>
        <v> VSS 10.237 </v>
      </c>
      <c r="B18" s="3" t="str">
        <f t="shared" si="1"/>
        <v>I</v>
      </c>
      <c r="C18" s="8">
        <f t="shared" si="2"/>
        <v>37940.635999999999</v>
      </c>
      <c r="D18" s="10" t="str">
        <f t="shared" si="3"/>
        <v>vis</v>
      </c>
      <c r="E18" s="46">
        <f>VLOOKUP(C18,Active!C$21:E$973,3,FALSE)</f>
        <v>306.99484048276474</v>
      </c>
      <c r="F18" s="3" t="s">
        <v>47</v>
      </c>
      <c r="G18" s="10" t="str">
        <f t="shared" si="4"/>
        <v>37940.636</v>
      </c>
      <c r="H18" s="8">
        <f t="shared" si="5"/>
        <v>307</v>
      </c>
      <c r="I18" s="47" t="s">
        <v>74</v>
      </c>
      <c r="J18" s="48" t="s">
        <v>75</v>
      </c>
      <c r="K18" s="47">
        <v>307</v>
      </c>
      <c r="L18" s="47" t="s">
        <v>76</v>
      </c>
      <c r="M18" s="48" t="s">
        <v>54</v>
      </c>
      <c r="N18" s="48"/>
      <c r="O18" s="49" t="s">
        <v>77</v>
      </c>
      <c r="P18" s="49" t="s">
        <v>78</v>
      </c>
    </row>
    <row r="19" spans="1:16" ht="12.75" customHeight="1" thickBot="1" x14ac:dyDescent="0.25">
      <c r="A19" s="8" t="str">
        <f t="shared" si="0"/>
        <v> VSS 10.237 </v>
      </c>
      <c r="B19" s="3" t="str">
        <f t="shared" si="1"/>
        <v>I</v>
      </c>
      <c r="C19" s="8">
        <f t="shared" si="2"/>
        <v>44142.391000000003</v>
      </c>
      <c r="D19" s="10" t="str">
        <f t="shared" si="3"/>
        <v>vis</v>
      </c>
      <c r="E19" s="46">
        <f>VLOOKUP(C19,Active!C$21:E$973,3,FALSE)</f>
        <v>708.98054161967377</v>
      </c>
      <c r="F19" s="3" t="s">
        <v>47</v>
      </c>
      <c r="G19" s="10" t="str">
        <f t="shared" si="4"/>
        <v>44142.391</v>
      </c>
      <c r="H19" s="8">
        <f t="shared" si="5"/>
        <v>709</v>
      </c>
      <c r="I19" s="47" t="s">
        <v>79</v>
      </c>
      <c r="J19" s="48" t="s">
        <v>80</v>
      </c>
      <c r="K19" s="47">
        <v>709</v>
      </c>
      <c r="L19" s="47" t="s">
        <v>81</v>
      </c>
      <c r="M19" s="48" t="s">
        <v>54</v>
      </c>
      <c r="N19" s="48"/>
      <c r="O19" s="49" t="s">
        <v>77</v>
      </c>
      <c r="P19" s="49" t="s">
        <v>78</v>
      </c>
    </row>
    <row r="20" spans="1:16" ht="12.75" customHeight="1" thickBot="1" x14ac:dyDescent="0.25">
      <c r="A20" s="8" t="str">
        <f t="shared" si="0"/>
        <v> VSS 10.237 </v>
      </c>
      <c r="B20" s="3" t="str">
        <f t="shared" si="1"/>
        <v>I</v>
      </c>
      <c r="C20" s="8">
        <f t="shared" si="2"/>
        <v>44173.347000000002</v>
      </c>
      <c r="D20" s="10" t="str">
        <f t="shared" si="3"/>
        <v>vis</v>
      </c>
      <c r="E20" s="46">
        <f>VLOOKUP(C20,Active!C$21:E$973,3,FALSE)</f>
        <v>710.98704935246769</v>
      </c>
      <c r="F20" s="3" t="s">
        <v>47</v>
      </c>
      <c r="G20" s="10" t="str">
        <f t="shared" si="4"/>
        <v>44173.347</v>
      </c>
      <c r="H20" s="8">
        <f t="shared" si="5"/>
        <v>711</v>
      </c>
      <c r="I20" s="47" t="s">
        <v>82</v>
      </c>
      <c r="J20" s="48" t="s">
        <v>83</v>
      </c>
      <c r="K20" s="47">
        <v>711</v>
      </c>
      <c r="L20" s="47" t="s">
        <v>84</v>
      </c>
      <c r="M20" s="48" t="s">
        <v>54</v>
      </c>
      <c r="N20" s="48"/>
      <c r="O20" s="49" t="s">
        <v>77</v>
      </c>
      <c r="P20" s="49" t="s">
        <v>78</v>
      </c>
    </row>
    <row r="21" spans="1:16" x14ac:dyDescent="0.2">
      <c r="B21" s="3"/>
      <c r="E21" s="46"/>
      <c r="F21" s="3"/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2024-02-17T02:49:10Z</dcterms:modified>
</cp:coreProperties>
</file>