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1633F07-B548-4158-8CCC-D478168DB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failed)" sheetId="1" r:id="rId2"/>
  </sheets>
  <calcPr calcId="181029"/>
</workbook>
</file>

<file path=xl/calcChain.xml><?xml version="1.0" encoding="utf-8"?>
<calcChain xmlns="http://schemas.openxmlformats.org/spreadsheetml/2006/main">
  <c r="E26" i="2" l="1"/>
  <c r="F26" i="2" s="1"/>
  <c r="G26" i="2" s="1"/>
  <c r="K26" i="2" s="1"/>
  <c r="Q26" i="2"/>
  <c r="E27" i="2"/>
  <c r="F27" i="2" s="1"/>
  <c r="G27" i="2" s="1"/>
  <c r="K27" i="2" s="1"/>
  <c r="Q27" i="2"/>
  <c r="E28" i="2"/>
  <c r="F28" i="2" s="1"/>
  <c r="G28" i="2" s="1"/>
  <c r="K28" i="2" s="1"/>
  <c r="Q28" i="2"/>
  <c r="E29" i="2"/>
  <c r="F29" i="2" s="1"/>
  <c r="G29" i="2" s="1"/>
  <c r="K29" i="2" s="1"/>
  <c r="Q29" i="2"/>
  <c r="E30" i="2"/>
  <c r="F30" i="2"/>
  <c r="G30" i="2" s="1"/>
  <c r="K30" i="2" s="1"/>
  <c r="Q30" i="2"/>
  <c r="E31" i="2"/>
  <c r="F31" i="2" s="1"/>
  <c r="G31" i="2" s="1"/>
  <c r="K31" i="2" s="1"/>
  <c r="Q31" i="2"/>
  <c r="E32" i="2"/>
  <c r="F32" i="2" s="1"/>
  <c r="G32" i="2" s="1"/>
  <c r="K32" i="2" s="1"/>
  <c r="Q32" i="2"/>
  <c r="E33" i="2"/>
  <c r="F33" i="2" s="1"/>
  <c r="G33" i="2" s="1"/>
  <c r="K33" i="2" s="1"/>
  <c r="Q33" i="2"/>
  <c r="E34" i="2"/>
  <c r="F34" i="2"/>
  <c r="G34" i="2" s="1"/>
  <c r="K34" i="2" s="1"/>
  <c r="Q34" i="2"/>
  <c r="E22" i="1"/>
  <c r="F22" i="1"/>
  <c r="E21" i="2"/>
  <c r="F21" i="2" s="1"/>
  <c r="G21" i="2" s="1"/>
  <c r="K21" i="2" s="1"/>
  <c r="C9" i="2"/>
  <c r="D9" i="2"/>
  <c r="F14" i="2"/>
  <c r="C17" i="2"/>
  <c r="Q21" i="2"/>
  <c r="E22" i="2"/>
  <c r="F22" i="2" s="1"/>
  <c r="G22" i="2" s="1"/>
  <c r="K22" i="2" s="1"/>
  <c r="Q22" i="2"/>
  <c r="E23" i="2"/>
  <c r="F23" i="2" s="1"/>
  <c r="G23" i="2" s="1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D9" i="1"/>
  <c r="C9" i="1"/>
  <c r="Q25" i="1"/>
  <c r="C7" i="1"/>
  <c r="E24" i="1"/>
  <c r="F24" i="1"/>
  <c r="G24" i="1"/>
  <c r="K24" i="1"/>
  <c r="Q23" i="1"/>
  <c r="Q24" i="1"/>
  <c r="Q22" i="1"/>
  <c r="D8" i="1"/>
  <c r="F16" i="1"/>
  <c r="F17" i="1" s="1"/>
  <c r="C17" i="1"/>
  <c r="Q21" i="1"/>
  <c r="E23" i="1"/>
  <c r="F23" i="1"/>
  <c r="G23" i="1"/>
  <c r="K23" i="1"/>
  <c r="E21" i="1"/>
  <c r="F21" i="1"/>
  <c r="G21" i="1"/>
  <c r="G22" i="1"/>
  <c r="K22" i="1"/>
  <c r="E25" i="1"/>
  <c r="F25" i="1"/>
  <c r="G25" i="1"/>
  <c r="K25" i="1"/>
  <c r="K21" i="1"/>
  <c r="C11" i="2"/>
  <c r="C12" i="2"/>
  <c r="C12" i="1"/>
  <c r="C11" i="1"/>
  <c r="O30" i="2" l="1"/>
  <c r="S30" i="2" s="1"/>
  <c r="O29" i="2"/>
  <c r="S29" i="2" s="1"/>
  <c r="O33" i="2"/>
  <c r="S33" i="2" s="1"/>
  <c r="O28" i="2"/>
  <c r="S28" i="2" s="1"/>
  <c r="O27" i="2"/>
  <c r="S27" i="2" s="1"/>
  <c r="O34" i="2"/>
  <c r="S34" i="2" s="1"/>
  <c r="O26" i="2"/>
  <c r="S26" i="2" s="1"/>
  <c r="O32" i="2"/>
  <c r="S32" i="2" s="1"/>
  <c r="O31" i="2"/>
  <c r="S31" i="2" s="1"/>
  <c r="C16" i="1"/>
  <c r="D18" i="1" s="1"/>
  <c r="O25" i="1"/>
  <c r="S25" i="1" s="1"/>
  <c r="O22" i="1"/>
  <c r="S22" i="1" s="1"/>
  <c r="C15" i="1"/>
  <c r="O23" i="1"/>
  <c r="S23" i="1" s="1"/>
  <c r="O21" i="1"/>
  <c r="S21" i="1" s="1"/>
  <c r="O24" i="1"/>
  <c r="S24" i="1" s="1"/>
  <c r="O22" i="2"/>
  <c r="S22" i="2" s="1"/>
  <c r="O23" i="2"/>
  <c r="S23" i="2" s="1"/>
  <c r="O21" i="2"/>
  <c r="S21" i="2" s="1"/>
  <c r="O24" i="2"/>
  <c r="S24" i="2" s="1"/>
  <c r="O25" i="2"/>
  <c r="S25" i="2" s="1"/>
  <c r="C15" i="2"/>
  <c r="C16" i="2"/>
  <c r="D18" i="2" s="1"/>
  <c r="F15" i="2"/>
  <c r="F18" i="1" l="1"/>
  <c r="F19" i="1" s="1"/>
  <c r="C18" i="2"/>
  <c r="F16" i="2"/>
  <c r="F17" i="2" s="1"/>
  <c r="S18" i="1"/>
  <c r="C18" i="1"/>
  <c r="S18" i="2"/>
  <c r="F18" i="2" l="1"/>
</calcChain>
</file>

<file path=xl/sharedStrings.xml><?xml version="1.0" encoding="utf-8"?>
<sst xmlns="http://schemas.openxmlformats.org/spreadsheetml/2006/main" count="140" uniqueCount="59">
  <si>
    <t>IBVS 6244</t>
  </si>
  <si>
    <t>diff2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</si>
  <si>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</si>
  <si>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</si>
  <si>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</si>
  <si>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</si>
  <si>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</si>
  <si>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</si>
  <si>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</si>
  <si>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</si>
  <si>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</si>
  <si>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</si>
  <si>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</si>
  <si>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</si>
  <si>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</si>
  <si>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</si>
  <si>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</si>
  <si>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</si>
  <si>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</si>
  <si>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</si>
  <si>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</si>
  <si>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</si>
  <si>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</si>
  <si>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</si>
  <si>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</si>
  <si>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</si>
  <si>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</si>
  <si>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</si>
  <si>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</si>
  <si>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</si>
  <si>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</si>
  <si>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</si>
  <si>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</si>
  <si>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</si>
  <si>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</si>
  <si>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</si>
  <si>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</si>
  <si>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</si>
  <si>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</si>
  <si>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</si>
  <si>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</si>
  <si>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</si>
  <si>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</si>
  <si>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V0474 Lac</t>
  </si>
  <si>
    <t>2015L</t>
  </si>
  <si>
    <t xml:space="preserve">G3992-2510 </t>
  </si>
  <si>
    <t>EB</t>
  </si>
  <si>
    <t xml:space="preserve">V0474 Lac / GSC 992-2510 </t>
  </si>
  <si>
    <t>GCVS</t>
  </si>
  <si>
    <t>IBVS 6152</t>
  </si>
  <si>
    <t>IBVS 6196</t>
  </si>
  <si>
    <t>I</t>
  </si>
  <si>
    <t>OEJV 0248 2024</t>
  </si>
  <si>
    <t>II</t>
  </si>
  <si>
    <t>Next ToM-S</t>
  </si>
  <si>
    <t>Next ToM-P</t>
  </si>
  <si>
    <t xml:space="preserve">Mag </t>
  </si>
  <si>
    <t>12.25 - 12.78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</si>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</sst>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0" fillId="26" borderId="0" xfId="0" applyFill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0" fillId="27" borderId="0" xfId="0" applyFill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5" fillId="0" borderId="0" xfId="0" applyFont="1" applyAlignment="1">
      <alignment vertical="center" wrapText="1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 vertical="center" wrapText="1"/>
    </xf>
    <xf numFmtId="0" fontId="0" fillId="28" borderId="11" xfId="0" applyFill="1" applyBorder="1" applyAlignment="1">
      <alignment horizontal="right"/>
    </xf>
    <xf numFmtId="0" fontId="0" fillId="28" borderId="12" xfId="0" applyFill="1" applyBorder="1" applyAlignment="1">
      <alignment horizontal="center" vertical="center"/>
    </xf>
    <xf numFmtId="0" fontId="10" fillId="0" borderId="13" xfId="0" applyFont="1" applyBorder="1" applyAlignment="1">
      <alignment horizontal="right" vertical="top"/>
    </xf>
    <xf numFmtId="0" fontId="12" fillId="0" borderId="14" xfId="0" applyFont="1" applyBorder="1" applyAlignment="1">
      <alignment horizontal="right" vertical="top"/>
    </xf>
    <xf numFmtId="0" fontId="9" fillId="0" borderId="14" xfId="0" applyFont="1" applyBorder="1" applyAlignment="1">
      <alignment horizontal="right" vertical="top"/>
    </xf>
    <xf numFmtId="0" fontId="8" fillId="0" borderId="14" xfId="0" applyFont="1" applyBorder="1" applyAlignment="1">
      <alignment horizontal="right"/>
    </xf>
    <xf numFmtId="22" fontId="8" fillId="0" borderId="14" xfId="0" applyNumberFormat="1" applyFont="1" applyBorder="1" applyAlignment="1">
      <alignment horizontal="right" vertical="top"/>
    </xf>
    <xf numFmtId="22" fontId="36" fillId="0" borderId="15" xfId="0" applyNumberFormat="1" applyFont="1" applyBorder="1" applyAlignment="1">
      <alignment horizontal="right"/>
    </xf>
    <xf numFmtId="0" fontId="10" fillId="0" borderId="16" xfId="0" applyFont="1" applyBorder="1" applyAlignment="1">
      <alignment horizontal="righ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V0474 Lac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5-459C-8230-8758BF8C73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5-459C-8230-8758BF8C73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75-459C-8230-8758BF8C73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1.3804999980493449E-3</c:v>
                </c:pt>
                <c:pt idx="1">
                  <c:v>-0.77549449999787612</c:v>
                </c:pt>
                <c:pt idx="2">
                  <c:v>-0.86107049999554874</c:v>
                </c:pt>
                <c:pt idx="3">
                  <c:v>-0.87031899999419693</c:v>
                </c:pt>
                <c:pt idx="4">
                  <c:v>-0.99680749999970431</c:v>
                </c:pt>
                <c:pt idx="5">
                  <c:v>-1.0842749999937951</c:v>
                </c:pt>
                <c:pt idx="6">
                  <c:v>-1.0832629999931669</c:v>
                </c:pt>
                <c:pt idx="7">
                  <c:v>-1.0865084999968531</c:v>
                </c:pt>
                <c:pt idx="8">
                  <c:v>-1.0822269999916898</c:v>
                </c:pt>
                <c:pt idx="9">
                  <c:v>-1.0867119999966235</c:v>
                </c:pt>
                <c:pt idx="10">
                  <c:v>-1.086699999999837</c:v>
                </c:pt>
                <c:pt idx="11">
                  <c:v>-1.0946219999968889</c:v>
                </c:pt>
                <c:pt idx="12">
                  <c:v>-1.1796314999955939</c:v>
                </c:pt>
                <c:pt idx="13">
                  <c:v>-1.1837684999991325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75-459C-8230-8758BF8C73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75-459C-8230-8758BF8C73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75-459C-8230-8758BF8C73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4.0000000000000001E-3</c:v>
                  </c:pt>
                  <c:pt idx="10">
                    <c:v>1E-3</c:v>
                  </c:pt>
                  <c:pt idx="11">
                    <c:v>6.0000000000000001E-3</c:v>
                  </c:pt>
                  <c:pt idx="12">
                    <c:v>8.0000000000000004E-4</c:v>
                  </c:pt>
                  <c:pt idx="1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75-459C-8230-8758BF8C73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8.1735019836567946E-3</c:v>
                </c:pt>
                <c:pt idx="1">
                  <c:v>-0.77862407282264012</c:v>
                </c:pt>
                <c:pt idx="2">
                  <c:v>-0.86232944832035718</c:v>
                </c:pt>
                <c:pt idx="3">
                  <c:v>-0.86241183550096523</c:v>
                </c:pt>
                <c:pt idx="4">
                  <c:v>-0.9976091988786755</c:v>
                </c:pt>
                <c:pt idx="5">
                  <c:v>-1.0845276744201042</c:v>
                </c:pt>
                <c:pt idx="6">
                  <c:v>-1.0851867718649681</c:v>
                </c:pt>
                <c:pt idx="7">
                  <c:v>-1.085433933406792</c:v>
                </c:pt>
                <c:pt idx="8">
                  <c:v>-1.0871640641995599</c:v>
                </c:pt>
                <c:pt idx="9">
                  <c:v>-1.0879879360056397</c:v>
                </c:pt>
                <c:pt idx="10">
                  <c:v>-1.0886470334505036</c:v>
                </c:pt>
                <c:pt idx="11">
                  <c:v>-1.0929311668421189</c:v>
                </c:pt>
                <c:pt idx="12">
                  <c:v>-1.1775428013265241</c:v>
                </c:pt>
                <c:pt idx="13">
                  <c:v>-1.1810030629120596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75-459C-8230-8758BF8C734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-2356.5</c:v>
                </c:pt>
                <c:pt idx="1">
                  <c:v>2418.5</c:v>
                </c:pt>
                <c:pt idx="2">
                  <c:v>2926.5</c:v>
                </c:pt>
                <c:pt idx="3">
                  <c:v>2927</c:v>
                </c:pt>
                <c:pt idx="4">
                  <c:v>3747.5</c:v>
                </c:pt>
                <c:pt idx="5">
                  <c:v>4275</c:v>
                </c:pt>
                <c:pt idx="6">
                  <c:v>4279</c:v>
                </c:pt>
                <c:pt idx="7">
                  <c:v>4280.5</c:v>
                </c:pt>
                <c:pt idx="8">
                  <c:v>4291</c:v>
                </c:pt>
                <c:pt idx="9">
                  <c:v>4296</c:v>
                </c:pt>
                <c:pt idx="10">
                  <c:v>4300</c:v>
                </c:pt>
                <c:pt idx="11">
                  <c:v>4326</c:v>
                </c:pt>
                <c:pt idx="12">
                  <c:v>4839.5</c:v>
                </c:pt>
                <c:pt idx="13">
                  <c:v>4860.5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75-459C-8230-8758BF8C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63536"/>
        <c:axId val="1"/>
      </c:scatterChart>
      <c:valAx>
        <c:axId val="690763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4795413731178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63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V474 Lac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(failed)'!$H$20:$H$20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(failed)'!$D$21:$D$239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(failed)'!$D$21:$D$239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4-4F67-9613-060EAB8B0B0C}"/>
            </c:ext>
          </c:extLst>
        </c:ser>
        <c:ser>
          <c:idx val="1"/>
          <c:order val="1"/>
          <c:tx>
            <c:strRef>
              <c:f>'A (failed)'!$I$20:$I$20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C4-4F67-9613-060EAB8B0B0C}"/>
            </c:ext>
          </c:extLst>
        </c:ser>
        <c:ser>
          <c:idx val="3"/>
          <c:order val="2"/>
          <c:tx>
            <c:strRef>
              <c:f>'A (failed)'!$J$20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C4-4F67-9613-060EAB8B0B0C}"/>
            </c:ext>
          </c:extLst>
        </c:ser>
        <c:ser>
          <c:idx val="4"/>
          <c:order val="3"/>
          <c:tx>
            <c:strRef>
              <c:f>'A (failed)'!$K$20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1.9023645000052056</c:v>
                </c:pt>
                <c:pt idx="2">
                  <c:v>2.1995370000076946</c:v>
                </c:pt>
                <c:pt idx="3">
                  <c:v>2.1902885000017704</c:v>
                </c:pt>
                <c:pt idx="4">
                  <c:v>2.4465485000037006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C4-4F67-9613-060EAB8B0B0C}"/>
            </c:ext>
          </c:extLst>
        </c:ser>
        <c:ser>
          <c:idx val="2"/>
          <c:order val="4"/>
          <c:tx>
            <c:strRef>
              <c:f>'A (failed)'!$L$20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C4-4F67-9613-060EAB8B0B0C}"/>
            </c:ext>
          </c:extLst>
        </c:ser>
        <c:ser>
          <c:idx val="5"/>
          <c:order val="5"/>
          <c:tx>
            <c:strRef>
              <c:f>'A (failed)'!$M$20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C4-4F67-9613-060EAB8B0B0C}"/>
            </c:ext>
          </c:extLst>
        </c:ser>
        <c:ser>
          <c:idx val="6"/>
          <c:order val="6"/>
          <c:tx>
            <c:strRef>
              <c:f>'A (failed)'!$N$20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(failed)'!$D$21:$D$999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3.8E-3</c:v>
                  </c:pt>
                  <c:pt idx="3">
                    <c:v>4.7999999999999996E-3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C4-4F67-9613-060EAB8B0B0C}"/>
            </c:ext>
          </c:extLst>
        </c:ser>
        <c:ser>
          <c:idx val="7"/>
          <c:order val="7"/>
          <c:tx>
            <c:strRef>
              <c:f>'A (failed)'!$O$20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(failed)'!$O$21:$O$999</c:f>
              <c:numCache>
                <c:formatCode>General</c:formatCode>
                <c:ptCount val="979"/>
                <c:pt idx="0">
                  <c:v>2.0475383918161505E-3</c:v>
                </c:pt>
                <c:pt idx="1">
                  <c:v>1.945538595376576</c:v>
                </c:pt>
                <c:pt idx="2">
                  <c:v>2.1522496320358582</c:v>
                </c:pt>
                <c:pt idx="3">
                  <c:v>2.1524532882296112</c:v>
                </c:pt>
                <c:pt idx="4">
                  <c:v>2.4864494459845106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C4-4F67-9613-060EAB8B0B0C}"/>
            </c:ext>
          </c:extLst>
        </c:ser>
        <c:ser>
          <c:idx val="8"/>
          <c:order val="8"/>
          <c:tx>
            <c:strRef>
              <c:f>'A (failed)'!$U$20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(failed)'!$F$21:$F$999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4771.5</c:v>
                </c:pt>
                <c:pt idx="2">
                  <c:v>5279</c:v>
                </c:pt>
                <c:pt idx="3">
                  <c:v>5279.5</c:v>
                </c:pt>
                <c:pt idx="4">
                  <c:v>6099.5</c:v>
                </c:pt>
              </c:numCache>
            </c:numRef>
          </c:xVal>
          <c:yVal>
            <c:numRef>
              <c:f>'A (failed)'!$U$21:$U$999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C4-4F67-9613-060EAB8B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30496"/>
        <c:axId val="1"/>
      </c:scatterChart>
      <c:valAx>
        <c:axId val="111493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4795413731178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3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BB0FAD7-B732-7716-7B0E-C85779183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6DE329-F65E-D06F-A28C-9419B3207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710937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1" t="s">
        <v>43</v>
      </c>
      <c r="G1" s="32" t="s">
        <v>44</v>
      </c>
      <c r="H1" s="39"/>
      <c r="I1" s="33" t="s">
        <v>45</v>
      </c>
      <c r="J1" s="31" t="s">
        <v>43</v>
      </c>
      <c r="K1" s="34">
        <v>22.455870000000001</v>
      </c>
      <c r="L1" s="35">
        <v>56.283200000000001</v>
      </c>
      <c r="M1" s="36">
        <v>53294.986299999997</v>
      </c>
      <c r="N1" s="36">
        <v>0.76549999999999996</v>
      </c>
      <c r="O1" s="33" t="s">
        <v>46</v>
      </c>
    </row>
    <row r="2" spans="1:15" ht="12.95" customHeight="1" x14ac:dyDescent="0.2">
      <c r="A2" t="s">
        <v>25</v>
      </c>
      <c r="B2" t="s">
        <v>46</v>
      </c>
      <c r="C2" s="30"/>
    </row>
    <row r="3" spans="1:15" ht="12.95" customHeight="1" thickBot="1" x14ac:dyDescent="0.25"/>
    <row r="4" spans="1:15" ht="12.95" customHeight="1" thickTop="1" thickBot="1" x14ac:dyDescent="0.25">
      <c r="A4" s="5" t="s">
        <v>2</v>
      </c>
      <c r="C4" s="27">
        <v>53294.986299999997</v>
      </c>
      <c r="D4" s="28">
        <v>0.76549999999999996</v>
      </c>
    </row>
    <row r="5" spans="1:15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ht="12.95" customHeight="1" x14ac:dyDescent="0.2">
      <c r="A6" s="5" t="s">
        <v>3</v>
      </c>
    </row>
    <row r="7" spans="1:15" ht="12.95" customHeight="1" x14ac:dyDescent="0.2">
      <c r="A7" t="s">
        <v>4</v>
      </c>
      <c r="C7" s="51">
        <v>55098.878599999996</v>
      </c>
      <c r="D7" s="29" t="s">
        <v>58</v>
      </c>
    </row>
    <row r="8" spans="1:15" ht="12.95" customHeight="1" x14ac:dyDescent="0.2">
      <c r="A8" t="s">
        <v>5</v>
      </c>
      <c r="C8" s="51">
        <v>0.76549699999999998</v>
      </c>
      <c r="D8" s="29" t="s">
        <v>58</v>
      </c>
    </row>
    <row r="9" spans="1:15" ht="12.95" customHeight="1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15" ht="12.95" customHeight="1" x14ac:dyDescent="0.2">
      <c r="A11" s="10" t="s">
        <v>17</v>
      </c>
      <c r="B11" s="10"/>
      <c r="C11" s="21">
        <f ca="1">INTERCEPT(INDIRECT($D$9):G992,INDIRECT($C$9):F992)</f>
        <v>-0.38011728022179636</v>
      </c>
      <c r="D11" s="3"/>
      <c r="E11" s="10"/>
    </row>
    <row r="12" spans="1:15" ht="12.95" customHeight="1" x14ac:dyDescent="0.2">
      <c r="A12" s="10" t="s">
        <v>18</v>
      </c>
      <c r="B12" s="10"/>
      <c r="C12" s="21">
        <f ca="1">SLOPE(INDIRECT($D$9):G992,INDIRECT($C$9):F992)</f>
        <v>-1.6477436121597843E-4</v>
      </c>
      <c r="D12" s="3"/>
      <c r="E12" s="55" t="s">
        <v>56</v>
      </c>
      <c r="F12" s="56" t="s">
        <v>57</v>
      </c>
    </row>
    <row r="13" spans="1:15" ht="12.95" customHeight="1" x14ac:dyDescent="0.2">
      <c r="A13" s="10" t="s">
        <v>20</v>
      </c>
      <c r="B13" s="10"/>
      <c r="C13" s="3" t="s">
        <v>15</v>
      </c>
      <c r="E13" s="57" t="s">
        <v>36</v>
      </c>
      <c r="F13" s="58">
        <v>1</v>
      </c>
    </row>
    <row r="14" spans="1:15" ht="12.95" customHeight="1" x14ac:dyDescent="0.2">
      <c r="A14" s="10"/>
      <c r="B14" s="10"/>
      <c r="C14" s="10"/>
      <c r="E14" s="57" t="s">
        <v>32</v>
      </c>
      <c r="F14" s="59">
        <f ca="1">NOW()+15018.5+$C$5/24</f>
        <v>60518.792467013889</v>
      </c>
    </row>
    <row r="15" spans="1:15" ht="12.95" customHeight="1" x14ac:dyDescent="0.2">
      <c r="A15" s="12" t="s">
        <v>19</v>
      </c>
      <c r="B15" s="10"/>
      <c r="C15" s="13">
        <f ca="1">(C7+C11)+(C8+C12)*INT(MAX(F21:F3533))</f>
        <v>58818.013099324264</v>
      </c>
      <c r="E15" s="57" t="s">
        <v>37</v>
      </c>
      <c r="F15" s="59">
        <f ca="1">ROUND(2*(F14-$C$7)/$C$8,0)/2+F13</f>
        <v>7081.5</v>
      </c>
    </row>
    <row r="16" spans="1:15" ht="12.95" customHeight="1" x14ac:dyDescent="0.2">
      <c r="A16" s="16" t="s">
        <v>6</v>
      </c>
      <c r="B16" s="10"/>
      <c r="C16" s="17">
        <f ca="1">+C8+C12</f>
        <v>0.765332225638784</v>
      </c>
      <c r="E16" s="57" t="s">
        <v>38</v>
      </c>
      <c r="F16" s="60">
        <f ca="1">ROUND(2*(F14-$C$15)/$C$16,0)/2+F13</f>
        <v>2223.5</v>
      </c>
    </row>
    <row r="17" spans="1:21" ht="12.95" customHeight="1" thickBot="1" x14ac:dyDescent="0.25">
      <c r="A17" s="14" t="s">
        <v>29</v>
      </c>
      <c r="B17" s="10"/>
      <c r="C17" s="10">
        <f>COUNT(C21:C2191)</f>
        <v>14</v>
      </c>
      <c r="E17" s="57" t="s">
        <v>55</v>
      </c>
      <c r="F17" s="61">
        <f ca="1">+$C$15+$C$16*$F$16-15018.5-$C$5/24</f>
        <v>45501.625136365437</v>
      </c>
    </row>
    <row r="18" spans="1:21" ht="12.95" customHeight="1" thickTop="1" thickBot="1" x14ac:dyDescent="0.25">
      <c r="A18" s="16" t="s">
        <v>7</v>
      </c>
      <c r="B18" s="10"/>
      <c r="C18" s="19">
        <f ca="1">+C15</f>
        <v>58818.013099324264</v>
      </c>
      <c r="D18" s="20">
        <f ca="1">+C16</f>
        <v>0.765332225638784</v>
      </c>
      <c r="E18" s="63" t="s">
        <v>54</v>
      </c>
      <c r="F18" s="62">
        <f ca="1">+($C$15+$C$16*$F$16)-($C$16)-15018.5-$C$5/24</f>
        <v>45500.8598041398</v>
      </c>
      <c r="S18">
        <f ca="1">SQRT(SUM(S21:S25)/5)</f>
        <v>4.9130443584823021E-3</v>
      </c>
    </row>
    <row r="19" spans="1:21" ht="12.95" customHeight="1" thickTop="1" x14ac:dyDescent="0.2"/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S20" s="50" t="s">
        <v>1</v>
      </c>
      <c r="U20" s="26" t="s">
        <v>35</v>
      </c>
    </row>
    <row r="21" spans="1:21" ht="12.95" customHeight="1" x14ac:dyDescent="0.2">
      <c r="A21" t="s">
        <v>48</v>
      </c>
      <c r="C21" s="8">
        <v>53294.986299999997</v>
      </c>
      <c r="D21" s="8" t="s">
        <v>15</v>
      </c>
      <c r="E21">
        <f>+(C21-C$7)/C$8</f>
        <v>-2356.4981965964589</v>
      </c>
      <c r="F21">
        <f>ROUND(2*E21,0)/2</f>
        <v>-2356.5</v>
      </c>
      <c r="G21">
        <f>+C21-(C$7+F21*C$8)</f>
        <v>1.3804999980493449E-3</v>
      </c>
      <c r="K21">
        <f>+G21</f>
        <v>1.3804999980493449E-3</v>
      </c>
      <c r="O21">
        <f ca="1">+C$11+C$12*$F21</f>
        <v>8.1735019836567946E-3</v>
      </c>
      <c r="Q21" s="2">
        <f>+C21-15018.5</f>
        <v>38276.486299999997</v>
      </c>
      <c r="S21">
        <f ca="1">(O21-G21)^2</f>
        <v>4.6144875976466755E-5</v>
      </c>
    </row>
    <row r="22" spans="1:21" ht="12.95" customHeight="1" x14ac:dyDescent="0.2">
      <c r="A22" s="40" t="s">
        <v>49</v>
      </c>
      <c r="B22" s="41"/>
      <c r="C22" s="40">
        <v>56949.457600000002</v>
      </c>
      <c r="D22" s="40">
        <v>2.2000000000000001E-3</v>
      </c>
      <c r="E22">
        <f>+(C22-C$7)/C$8</f>
        <v>2417.4869398573805</v>
      </c>
      <c r="F22" s="42">
        <f>ROUND(2*E22,0)/2+1</f>
        <v>2418.5</v>
      </c>
      <c r="G22">
        <f>+C22-(C$7+F22*C$8)</f>
        <v>-0.77549449999787612</v>
      </c>
      <c r="K22">
        <f>+G22</f>
        <v>-0.77549449999787612</v>
      </c>
      <c r="O22">
        <f ca="1">+C$11+C$12*$F22</f>
        <v>-0.77862407282264012</v>
      </c>
      <c r="Q22" s="2">
        <f>+C22-15018.5</f>
        <v>41930.957600000002</v>
      </c>
      <c r="S22">
        <f ca="1">(O22-G22)^2</f>
        <v>9.7942260655013488E-6</v>
      </c>
    </row>
    <row r="23" spans="1:21" ht="12.95" customHeight="1" x14ac:dyDescent="0.2">
      <c r="A23" s="43" t="s">
        <v>50</v>
      </c>
      <c r="B23" s="44" t="s">
        <v>51</v>
      </c>
      <c r="C23" s="45">
        <v>57338.244500000001</v>
      </c>
      <c r="D23" s="45">
        <v>3.8E-3</v>
      </c>
      <c r="E23">
        <f>+(C23-C$7)/C$8</f>
        <v>2925.3751484329846</v>
      </c>
      <c r="F23" s="42">
        <f>ROUND(2*E23,0)/2+1</f>
        <v>2926.5</v>
      </c>
      <c r="G23">
        <f>+C23-(C$7+F23*C$8)</f>
        <v>-0.86107049999554874</v>
      </c>
      <c r="K23">
        <f>+G23</f>
        <v>-0.86107049999554874</v>
      </c>
      <c r="O23">
        <f ca="1">+C$11+C$12*$F23</f>
        <v>-0.86232944832035718</v>
      </c>
      <c r="Q23" s="2">
        <f>+C23-15018.5</f>
        <v>42319.744500000001</v>
      </c>
      <c r="S23">
        <f ca="1">(O23-G23)^2</f>
        <v>1.5849508845379771E-6</v>
      </c>
    </row>
    <row r="24" spans="1:21" ht="12.95" customHeight="1" x14ac:dyDescent="0.2">
      <c r="A24" s="43" t="s">
        <v>50</v>
      </c>
      <c r="B24" s="44" t="s">
        <v>51</v>
      </c>
      <c r="C24" s="45">
        <v>57338.618000000002</v>
      </c>
      <c r="D24" s="45">
        <v>4.7999999999999996E-3</v>
      </c>
      <c r="E24">
        <f>+(C24-C$7)/C$8</f>
        <v>2925.8630667396551</v>
      </c>
      <c r="F24" s="42">
        <f>ROUND(2*E24,0)/2+1</f>
        <v>2927</v>
      </c>
      <c r="G24">
        <f>+C24-(C$7+F24*C$8)</f>
        <v>-0.87031899999419693</v>
      </c>
      <c r="K24">
        <f>+G24</f>
        <v>-0.87031899999419693</v>
      </c>
      <c r="O24">
        <f ca="1">+C$11+C$12*$F24</f>
        <v>-0.86241183550096523</v>
      </c>
      <c r="Q24" s="2">
        <f>+C24-15018.5</f>
        <v>42320.118000000002</v>
      </c>
      <c r="S24">
        <f ca="1">(O24-G24)^2</f>
        <v>6.252325032302412E-5</v>
      </c>
    </row>
    <row r="25" spans="1:21" ht="12.95" customHeight="1" x14ac:dyDescent="0.2">
      <c r="A25" s="46" t="s">
        <v>0</v>
      </c>
      <c r="B25" s="47" t="s">
        <v>51</v>
      </c>
      <c r="C25" s="48">
        <v>57966.5818</v>
      </c>
      <c r="D25" s="48">
        <v>5.9999999999999995E-4</v>
      </c>
      <c r="E25">
        <f>+(C25-C$7)/C$8</f>
        <v>3746.1978296453203</v>
      </c>
      <c r="F25" s="49">
        <f>ROUND(2*E25,0)/2+1.5</f>
        <v>3747.5</v>
      </c>
      <c r="G25">
        <f>+C25-(C$7+F25*C$8)</f>
        <v>-0.99680749999970431</v>
      </c>
      <c r="K25">
        <f>+G25</f>
        <v>-0.99680749999970431</v>
      </c>
      <c r="O25">
        <f ca="1">+C$11+C$12*$F25</f>
        <v>-0.9976091988786755</v>
      </c>
      <c r="Q25" s="2">
        <f>+C25-15018.5</f>
        <v>42948.0818</v>
      </c>
      <c r="S25">
        <f ca="1">(O25-G25)^2</f>
        <v>6.4272109254366425E-7</v>
      </c>
    </row>
    <row r="26" spans="1:21" ht="12.95" customHeight="1" x14ac:dyDescent="0.2">
      <c r="A26" s="52" t="s">
        <v>52</v>
      </c>
      <c r="B26" s="53" t="s">
        <v>53</v>
      </c>
      <c r="C26" s="54">
        <v>58370.294000000002</v>
      </c>
      <c r="D26" s="54">
        <v>5.0000000000000001E-3</v>
      </c>
      <c r="E26">
        <f t="shared" ref="E26:E34" si="0">+(C26-C$7)/C$8</f>
        <v>4273.5835672772137</v>
      </c>
      <c r="F26" s="49">
        <f t="shared" ref="F26:F34" si="1">ROUND(2*E26,0)/2+1.5</f>
        <v>4275</v>
      </c>
      <c r="G26">
        <f t="shared" ref="G26:G34" si="2">+C26-(C$7+F26*C$8)</f>
        <v>-1.0842749999937951</v>
      </c>
      <c r="K26">
        <f t="shared" ref="K26:K34" si="3">+G26</f>
        <v>-1.0842749999937951</v>
      </c>
      <c r="O26">
        <f t="shared" ref="O26:O34" ca="1" si="4">+C$11+C$12*$F26</f>
        <v>-1.0845276744201042</v>
      </c>
      <c r="Q26" s="2">
        <f t="shared" ref="Q26:Q34" si="5">+C26-15018.5</f>
        <v>43351.794000000002</v>
      </c>
      <c r="S26">
        <f t="shared" ref="S26:S34" ca="1" si="6">(O26-G26)^2</f>
        <v>6.38443657106646E-8</v>
      </c>
    </row>
    <row r="27" spans="1:21" ht="12.95" customHeight="1" x14ac:dyDescent="0.2">
      <c r="A27" s="52" t="s">
        <v>52</v>
      </c>
      <c r="B27" s="53" t="s">
        <v>53</v>
      </c>
      <c r="C27" s="54">
        <v>58373.357000000004</v>
      </c>
      <c r="D27" s="54">
        <v>4.0000000000000001E-3</v>
      </c>
      <c r="E27">
        <f t="shared" si="0"/>
        <v>4277.584889294154</v>
      </c>
      <c r="F27" s="49">
        <f t="shared" si="1"/>
        <v>4279</v>
      </c>
      <c r="G27">
        <f t="shared" si="2"/>
        <v>-1.0832629999931669</v>
      </c>
      <c r="K27">
        <f t="shared" si="3"/>
        <v>-1.0832629999931669</v>
      </c>
      <c r="O27">
        <f t="shared" ca="1" si="4"/>
        <v>-1.0851867718649681</v>
      </c>
      <c r="Q27" s="2">
        <f t="shared" si="5"/>
        <v>43354.857000000004</v>
      </c>
      <c r="S27">
        <f t="shared" ca="1" si="6"/>
        <v>3.7008982147337267E-6</v>
      </c>
    </row>
    <row r="28" spans="1:21" ht="12.95" customHeight="1" x14ac:dyDescent="0.2">
      <c r="A28" s="52" t="s">
        <v>52</v>
      </c>
      <c r="B28" s="53" t="s">
        <v>51</v>
      </c>
      <c r="C28" s="54">
        <v>58374.502</v>
      </c>
      <c r="D28" s="54">
        <v>2E-3</v>
      </c>
      <c r="E28">
        <f t="shared" si="0"/>
        <v>4279.0806495649285</v>
      </c>
      <c r="F28" s="49">
        <f t="shared" si="1"/>
        <v>4280.5</v>
      </c>
      <c r="G28">
        <f t="shared" si="2"/>
        <v>-1.0865084999968531</v>
      </c>
      <c r="K28">
        <f t="shared" si="3"/>
        <v>-1.0865084999968531</v>
      </c>
      <c r="O28">
        <f t="shared" ca="1" si="4"/>
        <v>-1.085433933406792</v>
      </c>
      <c r="Q28" s="2">
        <f t="shared" si="5"/>
        <v>43356.002</v>
      </c>
      <c r="S28">
        <f t="shared" ca="1" si="6"/>
        <v>1.154693356475562E-6</v>
      </c>
    </row>
    <row r="29" spans="1:21" ht="12.95" customHeight="1" x14ac:dyDescent="0.2">
      <c r="A29" s="52" t="s">
        <v>52</v>
      </c>
      <c r="B29" s="53" t="s">
        <v>53</v>
      </c>
      <c r="C29" s="54">
        <v>58382.544000000002</v>
      </c>
      <c r="D29" s="54">
        <v>3.0000000000000001E-3</v>
      </c>
      <c r="E29">
        <f t="shared" si="0"/>
        <v>4289.5862426632702</v>
      </c>
      <c r="F29" s="49">
        <f t="shared" si="1"/>
        <v>4291</v>
      </c>
      <c r="G29">
        <f t="shared" si="2"/>
        <v>-1.0822269999916898</v>
      </c>
      <c r="K29">
        <f t="shared" si="3"/>
        <v>-1.0822269999916898</v>
      </c>
      <c r="O29">
        <f t="shared" ca="1" si="4"/>
        <v>-1.0871640641995599</v>
      </c>
      <c r="Q29" s="2">
        <f t="shared" si="5"/>
        <v>43364.044000000002</v>
      </c>
      <c r="S29">
        <f t="shared" ca="1" si="6"/>
        <v>2.4374602992632027E-5</v>
      </c>
    </row>
    <row r="30" spans="1:21" ht="12.95" customHeight="1" x14ac:dyDescent="0.2">
      <c r="A30" s="52" t="s">
        <v>52</v>
      </c>
      <c r="B30" s="53" t="s">
        <v>53</v>
      </c>
      <c r="C30" s="54">
        <v>58386.366999999998</v>
      </c>
      <c r="D30" s="54">
        <v>4.0000000000000001E-3</v>
      </c>
      <c r="E30">
        <f t="shared" si="0"/>
        <v>4294.580383724563</v>
      </c>
      <c r="F30" s="49">
        <f t="shared" si="1"/>
        <v>4296</v>
      </c>
      <c r="G30">
        <f t="shared" si="2"/>
        <v>-1.0867119999966235</v>
      </c>
      <c r="K30">
        <f t="shared" si="3"/>
        <v>-1.0867119999966235</v>
      </c>
      <c r="O30">
        <f t="shared" ca="1" si="4"/>
        <v>-1.0879879360056397</v>
      </c>
      <c r="Q30" s="2">
        <f t="shared" si="5"/>
        <v>43367.866999999998</v>
      </c>
      <c r="S30">
        <f t="shared" ca="1" si="6"/>
        <v>1.6280126991042133E-6</v>
      </c>
    </row>
    <row r="31" spans="1:21" ht="12.95" customHeight="1" x14ac:dyDescent="0.2">
      <c r="A31" s="52" t="s">
        <v>52</v>
      </c>
      <c r="B31" s="53" t="s">
        <v>53</v>
      </c>
      <c r="C31" s="54">
        <v>58389.428999999996</v>
      </c>
      <c r="D31" s="54">
        <v>1E-3</v>
      </c>
      <c r="E31">
        <f t="shared" si="0"/>
        <v>4298.580399400651</v>
      </c>
      <c r="F31" s="49">
        <f t="shared" si="1"/>
        <v>4300</v>
      </c>
      <c r="G31">
        <f t="shared" si="2"/>
        <v>-1.086699999999837</v>
      </c>
      <c r="K31">
        <f t="shared" si="3"/>
        <v>-1.086699999999837</v>
      </c>
      <c r="O31">
        <f t="shared" ca="1" si="4"/>
        <v>-1.0886470334505036</v>
      </c>
      <c r="Q31" s="2">
        <f t="shared" si="5"/>
        <v>43370.928999999996</v>
      </c>
      <c r="S31">
        <f t="shared" ca="1" si="6"/>
        <v>3.7909392580146955E-6</v>
      </c>
    </row>
    <row r="32" spans="1:21" ht="12.95" customHeight="1" x14ac:dyDescent="0.2">
      <c r="A32" s="52" t="s">
        <v>52</v>
      </c>
      <c r="B32" s="53" t="s">
        <v>53</v>
      </c>
      <c r="C32" s="54">
        <v>58409.324000000001</v>
      </c>
      <c r="D32" s="54">
        <v>6.0000000000000001E-3</v>
      </c>
      <c r="E32">
        <f t="shared" si="0"/>
        <v>4324.5700505684599</v>
      </c>
      <c r="F32" s="49">
        <f t="shared" si="1"/>
        <v>4326</v>
      </c>
      <c r="G32">
        <f t="shared" si="2"/>
        <v>-1.0946219999968889</v>
      </c>
      <c r="K32">
        <f t="shared" si="3"/>
        <v>-1.0946219999968889</v>
      </c>
      <c r="O32">
        <f t="shared" ca="1" si="4"/>
        <v>-1.0929311668421189</v>
      </c>
      <c r="Q32" s="2">
        <f t="shared" si="5"/>
        <v>43390.824000000001</v>
      </c>
      <c r="S32">
        <f t="shared" ca="1" si="6"/>
        <v>2.8589167572695818E-6</v>
      </c>
    </row>
    <row r="33" spans="1:19" ht="12.95" customHeight="1" x14ac:dyDescent="0.2">
      <c r="A33" s="52" t="s">
        <v>52</v>
      </c>
      <c r="B33" s="53" t="s">
        <v>51</v>
      </c>
      <c r="C33" s="54">
        <v>58802.3217</v>
      </c>
      <c r="D33" s="54">
        <v>8.0000000000000004E-4</v>
      </c>
      <c r="E33">
        <f t="shared" si="0"/>
        <v>4837.9589991861549</v>
      </c>
      <c r="F33" s="49">
        <f t="shared" si="1"/>
        <v>4839.5</v>
      </c>
      <c r="G33">
        <f t="shared" si="2"/>
        <v>-1.1796314999955939</v>
      </c>
      <c r="K33">
        <f t="shared" si="3"/>
        <v>-1.1796314999955939</v>
      </c>
      <c r="O33">
        <f t="shared" ca="1" si="4"/>
        <v>-1.1775428013265241</v>
      </c>
      <c r="Q33" s="2">
        <f t="shared" si="5"/>
        <v>43783.8217</v>
      </c>
      <c r="S33">
        <f t="shared" ca="1" si="6"/>
        <v>4.362662130173952E-6</v>
      </c>
    </row>
    <row r="34" spans="1:19" ht="12.95" customHeight="1" x14ac:dyDescent="0.2">
      <c r="A34" s="52" t="s">
        <v>52</v>
      </c>
      <c r="B34" s="53" t="s">
        <v>51</v>
      </c>
      <c r="C34" s="54">
        <v>58818.392999999996</v>
      </c>
      <c r="D34" s="54">
        <v>1E-3</v>
      </c>
      <c r="E34">
        <f t="shared" si="0"/>
        <v>4858.9535948540624</v>
      </c>
      <c r="F34" s="49">
        <f t="shared" si="1"/>
        <v>4860.5</v>
      </c>
      <c r="G34">
        <f t="shared" si="2"/>
        <v>-1.1837684999991325</v>
      </c>
      <c r="K34">
        <f t="shared" si="3"/>
        <v>-1.1837684999991325</v>
      </c>
      <c r="O34">
        <f t="shared" ca="1" si="4"/>
        <v>-1.1810030629120596</v>
      </c>
      <c r="Q34" s="2">
        <f t="shared" si="5"/>
        <v>43799.892999999996</v>
      </c>
      <c r="S34">
        <f t="shared" ca="1" si="6"/>
        <v>7.6476422825581694E-6</v>
      </c>
    </row>
    <row r="35" spans="1:19" ht="12.95" customHeight="1" x14ac:dyDescent="0.2">
      <c r="C35" s="8"/>
      <c r="D35" s="8"/>
    </row>
    <row r="36" spans="1:19" ht="12.95" customHeight="1" x14ac:dyDescent="0.2">
      <c r="C36" s="8"/>
      <c r="D36" s="8"/>
    </row>
    <row r="37" spans="1:19" ht="12.95" customHeight="1" x14ac:dyDescent="0.2">
      <c r="C37" s="8"/>
      <c r="D37" s="8"/>
    </row>
    <row r="38" spans="1:19" ht="12.95" customHeight="1" x14ac:dyDescent="0.2">
      <c r="C38" s="8"/>
      <c r="D38" s="8"/>
    </row>
    <row r="39" spans="1:19" ht="12.95" customHeight="1" x14ac:dyDescent="0.2">
      <c r="C39" s="8"/>
      <c r="D39" s="8"/>
    </row>
    <row r="40" spans="1:19" ht="12.95" customHeight="1" x14ac:dyDescent="0.2">
      <c r="C40" s="8"/>
      <c r="D40" s="8"/>
    </row>
    <row r="41" spans="1:19" ht="12.95" customHeight="1" x14ac:dyDescent="0.2">
      <c r="C41" s="8"/>
      <c r="D41" s="8"/>
    </row>
    <row r="42" spans="1:19" ht="12.95" customHeight="1" x14ac:dyDescent="0.2">
      <c r="C42" s="8"/>
      <c r="D42" s="8"/>
    </row>
    <row r="43" spans="1:19" ht="12.95" customHeight="1" x14ac:dyDescent="0.2">
      <c r="C43" s="8"/>
      <c r="D43" s="8"/>
    </row>
    <row r="44" spans="1:19" ht="12.95" customHeight="1" x14ac:dyDescent="0.2">
      <c r="C44" s="8"/>
      <c r="D44" s="8"/>
    </row>
    <row r="45" spans="1:19" ht="12.95" customHeight="1" x14ac:dyDescent="0.2">
      <c r="C45" s="8"/>
      <c r="D45" s="8"/>
    </row>
    <row r="46" spans="1:19" ht="12.95" customHeight="1" x14ac:dyDescent="0.2">
      <c r="C46" s="8"/>
      <c r="D46" s="8"/>
    </row>
    <row r="47" spans="1:19" ht="12.95" customHeight="1" x14ac:dyDescent="0.2">
      <c r="C47" s="8"/>
      <c r="D47" s="8"/>
    </row>
    <row r="48" spans="1:19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969" r:id="rId1" display="http://vsolj.cetus-net.org/bulletin.html" xr:uid="{00000000-0004-0000-0000-000000000000}"/>
    <hyperlink ref="H63962" r:id="rId2" display="https://www.aavso.org/ejaavso" xr:uid="{00000000-0004-0000-0000-000001000000}"/>
    <hyperlink ref="I63969" r:id="rId3" display="http://vsolj.cetus-net.org/bulletin.html" xr:uid="{00000000-0004-0000-0000-000002000000}"/>
    <hyperlink ref="AQ57620" r:id="rId4" display="http://cdsbib.u-strasbg.fr/cgi-bin/cdsbib?1990RMxAA..21..381G" xr:uid="{00000000-0004-0000-0000-000003000000}"/>
    <hyperlink ref="H63966" r:id="rId5" display="https://www.aavso.org/ejaavso" xr:uid="{00000000-0004-0000-0000-000004000000}"/>
    <hyperlink ref="AP4984" r:id="rId6" display="http://cdsbib.u-strasbg.fr/cgi-bin/cdsbib?1990RMxAA..21..381G" xr:uid="{00000000-0004-0000-0000-000005000000}"/>
    <hyperlink ref="AP4987" r:id="rId7" display="http://cdsbib.u-strasbg.fr/cgi-bin/cdsbib?1990RMxAA..21..381G" xr:uid="{00000000-0004-0000-0000-000006000000}"/>
    <hyperlink ref="AP4985" r:id="rId8" display="http://cdsbib.u-strasbg.fr/cgi-bin/cdsbib?1990RMxAA..21..381G" xr:uid="{00000000-0004-0000-0000-000007000000}"/>
    <hyperlink ref="AP4969" r:id="rId9" display="http://cdsbib.u-strasbg.fr/cgi-bin/cdsbib?1990RMxAA..21..381G" xr:uid="{00000000-0004-0000-0000-000008000000}"/>
    <hyperlink ref="AQ5198" r:id="rId10" display="http://cdsbib.u-strasbg.fr/cgi-bin/cdsbib?1990RMxAA..21..381G" xr:uid="{00000000-0004-0000-0000-000009000000}"/>
    <hyperlink ref="AQ5202" r:id="rId11" display="http://cdsbib.u-strasbg.fr/cgi-bin/cdsbib?1990RMxAA..21..381G" xr:uid="{00000000-0004-0000-0000-00000A000000}"/>
    <hyperlink ref="AQ64882" r:id="rId12" display="http://cdsbib.u-strasbg.fr/cgi-bin/cdsbib?1990RMxAA..21..381G" xr:uid="{00000000-0004-0000-0000-00000B000000}"/>
    <hyperlink ref="I2090" r:id="rId13" display="http://vsolj.cetus-net.org/bulletin.html" xr:uid="{00000000-0004-0000-0000-00000C000000}"/>
    <hyperlink ref="H2090" r:id="rId14" display="http://vsolj.cetus-net.org/bulletin.html" xr:uid="{00000000-0004-0000-0000-00000D000000}"/>
    <hyperlink ref="AQ7" r:id="rId15" display="http://cdsbib.u-strasbg.fr/cgi-bin/cdsbib?1990RMxAA..21..381G" xr:uid="{00000000-0004-0000-0000-00000E000000}"/>
    <hyperlink ref="AQ6" r:id="rId16" display="http://cdsbib.u-strasbg.fr/cgi-bin/cdsbib?1990RMxAA..21..381G" xr:uid="{00000000-0004-0000-0000-00000F000000}"/>
    <hyperlink ref="AP3260" r:id="rId17" display="http://cdsbib.u-strasbg.fr/cgi-bin/cdsbib?1990RMxAA..21..381G" xr:uid="{00000000-0004-0000-0000-000010000000}"/>
    <hyperlink ref="AP3278" r:id="rId18" display="http://cdsbib.u-strasbg.fr/cgi-bin/cdsbib?1990RMxAA..21..381G" xr:uid="{00000000-0004-0000-0000-000011000000}"/>
    <hyperlink ref="AP3279" r:id="rId19" display="http://cdsbib.u-strasbg.fr/cgi-bin/cdsbib?1990RMxAA..21..381G" xr:uid="{00000000-0004-0000-0000-000012000000}"/>
    <hyperlink ref="AP327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selection activeCell="G36" sqref="G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1" t="s">
        <v>43</v>
      </c>
      <c r="G1" s="32" t="s">
        <v>44</v>
      </c>
      <c r="H1" s="39"/>
      <c r="I1" s="33" t="s">
        <v>45</v>
      </c>
      <c r="J1" s="31" t="s">
        <v>43</v>
      </c>
      <c r="K1" s="34">
        <v>22.455870000000001</v>
      </c>
      <c r="L1" s="35">
        <v>56.283200000000001</v>
      </c>
      <c r="M1" s="36">
        <v>53294.986299999997</v>
      </c>
      <c r="N1" s="36">
        <v>0.76549999999999996</v>
      </c>
      <c r="O1" s="33" t="s">
        <v>46</v>
      </c>
    </row>
    <row r="2" spans="1:15" x14ac:dyDescent="0.2">
      <c r="A2" t="s">
        <v>25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53294.986299999997</v>
      </c>
      <c r="D4" s="28">
        <v>0.76549999999999996</v>
      </c>
    </row>
    <row r="5" spans="1:15" ht="13.5" thickTop="1" x14ac:dyDescent="0.2">
      <c r="A5" s="9" t="s">
        <v>30</v>
      </c>
      <c r="B5" s="10"/>
      <c r="C5" s="11">
        <v>8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f>M1</f>
        <v>53294.986299999997</v>
      </c>
      <c r="D7" s="29" t="s">
        <v>48</v>
      </c>
    </row>
    <row r="8" spans="1:15" x14ac:dyDescent="0.2">
      <c r="A8" t="s">
        <v>5</v>
      </c>
      <c r="C8" s="8">
        <v>0.76549699999999998</v>
      </c>
      <c r="D8" s="29" t="str">
        <f>D7</f>
        <v>GCVS</v>
      </c>
    </row>
    <row r="9" spans="1:15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INTERCEPT(INDIRECT($D$9):G992,INDIRECT($C$9):F992)</f>
        <v>2.0475383918161505E-3</v>
      </c>
      <c r="D11" s="3"/>
      <c r="E11" s="10"/>
    </row>
    <row r="12" spans="1:15" x14ac:dyDescent="0.2">
      <c r="A12" s="10" t="s">
        <v>18</v>
      </c>
      <c r="B12" s="10"/>
      <c r="C12" s="21">
        <f ca="1">SLOPE(INDIRECT($D$9):G992,INDIRECT($C$9):F992)</f>
        <v>4.0731238750597501E-4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57966.238748789787</v>
      </c>
      <c r="E15" s="14" t="s">
        <v>36</v>
      </c>
      <c r="F15" s="37">
        <v>1</v>
      </c>
    </row>
    <row r="16" spans="1:15" x14ac:dyDescent="0.2">
      <c r="A16" s="16" t="s">
        <v>6</v>
      </c>
      <c r="B16" s="10"/>
      <c r="C16" s="17">
        <f ca="1">+C8+C12</f>
        <v>0.765904312387506</v>
      </c>
      <c r="E16" s="14" t="s">
        <v>32</v>
      </c>
      <c r="F16" s="38">
        <f ca="1">NOW()+15018.5+$C$5/24</f>
        <v>60519.521633680561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9438.5</v>
      </c>
    </row>
    <row r="18" spans="1:21" ht="14.25" thickTop="1" thickBot="1" x14ac:dyDescent="0.25">
      <c r="A18" s="16" t="s">
        <v>7</v>
      </c>
      <c r="B18" s="10"/>
      <c r="C18" s="19">
        <f ca="1">+C15</f>
        <v>57966.238748789787</v>
      </c>
      <c r="D18" s="20">
        <f ca="1">+C16</f>
        <v>0.765904312387506</v>
      </c>
      <c r="E18" s="14" t="s">
        <v>38</v>
      </c>
      <c r="F18" s="23">
        <f ca="1">ROUND(2*(F16-$C$15)/$C$16,0)/2+F15</f>
        <v>3334.5</v>
      </c>
      <c r="S18">
        <f ca="1">SQRT(SUM(S21:S25)/5)</f>
        <v>3.7756797624569953E-2</v>
      </c>
    </row>
    <row r="19" spans="1:21" ht="13.5" thickTop="1" x14ac:dyDescent="0.2">
      <c r="E19" s="14" t="s">
        <v>33</v>
      </c>
      <c r="F19" s="18">
        <f ca="1">+$C$15+$C$16*F18-15018.5-$C$5/24</f>
        <v>45501.31334511259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S20" s="50" t="s">
        <v>1</v>
      </c>
      <c r="U20" s="26" t="s">
        <v>35</v>
      </c>
    </row>
    <row r="21" spans="1:21" x14ac:dyDescent="0.2">
      <c r="A21" t="s">
        <v>48</v>
      </c>
      <c r="C21" s="8">
        <v>53294.986299999997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2.0475383918161505E-3</v>
      </c>
      <c r="Q21" s="2">
        <f>+C21-15018.5</f>
        <v>38276.486299999997</v>
      </c>
      <c r="S21">
        <f ca="1">(O21-G21)^2</f>
        <v>4.1924134659610681E-6</v>
      </c>
    </row>
    <row r="22" spans="1:21" x14ac:dyDescent="0.2">
      <c r="A22" s="40" t="s">
        <v>49</v>
      </c>
      <c r="B22" s="41"/>
      <c r="C22" s="40">
        <v>56949.457600000002</v>
      </c>
      <c r="D22" s="40">
        <v>2.2000000000000001E-3</v>
      </c>
      <c r="E22">
        <f>+(C22-C$7)/C$8</f>
        <v>4773.9851364538399</v>
      </c>
      <c r="F22" s="49">
        <f>ROUND(2*E22,0)/2-2.5</f>
        <v>4771.5</v>
      </c>
      <c r="G22">
        <f>+C22-(C$7+F22*C$8)</f>
        <v>1.9023645000052056</v>
      </c>
      <c r="K22">
        <f>+G22</f>
        <v>1.9023645000052056</v>
      </c>
      <c r="O22">
        <f ca="1">+C$11+C$12*$F22</f>
        <v>1.945538595376576</v>
      </c>
      <c r="Q22" s="2">
        <f>+C22-15018.5</f>
        <v>41930.957600000002</v>
      </c>
      <c r="S22">
        <f ca="1">(O22-G22)^2</f>
        <v>1.8640025111361872E-3</v>
      </c>
    </row>
    <row r="23" spans="1:21" x14ac:dyDescent="0.2">
      <c r="A23" s="43" t="s">
        <v>50</v>
      </c>
      <c r="B23" s="44" t="s">
        <v>51</v>
      </c>
      <c r="C23" s="45">
        <v>57338.244500000001</v>
      </c>
      <c r="D23" s="45">
        <v>3.8E-3</v>
      </c>
      <c r="E23">
        <f>+(C23-C$7)/C$8</f>
        <v>5281.873345029444</v>
      </c>
      <c r="F23">
        <f>ROUND(2*E23,0)/2-3</f>
        <v>5279</v>
      </c>
      <c r="G23">
        <f>+C23-(C$7+F23*C$8)</f>
        <v>2.1995370000076946</v>
      </c>
      <c r="K23">
        <f>+G23</f>
        <v>2.1995370000076946</v>
      </c>
      <c r="O23">
        <f ca="1">+C$11+C$12*$F23</f>
        <v>2.1522496320358582</v>
      </c>
      <c r="Q23" s="2">
        <f>+C23-15018.5</f>
        <v>42319.744500000001</v>
      </c>
      <c r="S23">
        <f ca="1">(O23-G23)^2</f>
        <v>2.2360951697038603E-3</v>
      </c>
    </row>
    <row r="24" spans="1:21" x14ac:dyDescent="0.2">
      <c r="A24" s="43" t="s">
        <v>50</v>
      </c>
      <c r="B24" s="44" t="s">
        <v>51</v>
      </c>
      <c r="C24" s="45">
        <v>57338.618000000002</v>
      </c>
      <c r="D24" s="45">
        <v>4.7999999999999996E-3</v>
      </c>
      <c r="E24">
        <f>+(C24-C$7)/C$8</f>
        <v>5282.3612633361145</v>
      </c>
      <c r="F24">
        <f>ROUND(2*E24,0)/2-3</f>
        <v>5279.5</v>
      </c>
      <c r="G24">
        <f>+C24-(C$7+F24*C$8)</f>
        <v>2.1902885000017704</v>
      </c>
      <c r="K24">
        <f>+G24</f>
        <v>2.1902885000017704</v>
      </c>
      <c r="O24">
        <f ca="1">+C$11+C$12*$F24</f>
        <v>2.1524532882296112</v>
      </c>
      <c r="Q24" s="2">
        <f>+C24-15018.5</f>
        <v>42320.118000000002</v>
      </c>
      <c r="S24">
        <f ca="1">(O24-G24)^2</f>
        <v>1.4315032498441345E-3</v>
      </c>
    </row>
    <row r="25" spans="1:21" x14ac:dyDescent="0.2">
      <c r="A25" s="46" t="s">
        <v>0</v>
      </c>
      <c r="B25" s="47" t="s">
        <v>51</v>
      </c>
      <c r="C25" s="48">
        <v>57966.5818</v>
      </c>
      <c r="D25" s="48">
        <v>5.9999999999999995E-4</v>
      </c>
      <c r="E25">
        <f>+(C25-C$7)/C$8</f>
        <v>6102.6960262417788</v>
      </c>
      <c r="F25">
        <f>ROUND(2*E25,0)/2-3</f>
        <v>6099.5</v>
      </c>
      <c r="G25">
        <f>+C25-(C$7+F25*C$8)</f>
        <v>2.4465485000037006</v>
      </c>
      <c r="K25">
        <f>+G25</f>
        <v>2.4465485000037006</v>
      </c>
      <c r="O25">
        <f ca="1">+C$11+C$12*$F25</f>
        <v>2.4864494459845106</v>
      </c>
      <c r="Q25" s="2">
        <f>+C25-15018.5</f>
        <v>42948.0818</v>
      </c>
      <c r="S25">
        <f ca="1">(O25-G25)^2</f>
        <v>1.592085490163514E-3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7" type="noConversion"/>
  <hyperlinks>
    <hyperlink ref="H63969" r:id="rId1" display="http://vsolj.cetus-net.org/bulletin.html" xr:uid="{00000000-0004-0000-0100-000000000000}"/>
    <hyperlink ref="H63962" r:id="rId2" display="https://www.aavso.org/ejaavso" xr:uid="{00000000-0004-0000-0100-000001000000}"/>
    <hyperlink ref="I63969" r:id="rId3" display="http://vsolj.cetus-net.org/bulletin.html" xr:uid="{00000000-0004-0000-0100-000002000000}"/>
    <hyperlink ref="AQ57620" r:id="rId4" display="http://cdsbib.u-strasbg.fr/cgi-bin/cdsbib?1990RMxAA..21..381G" xr:uid="{00000000-0004-0000-0100-000003000000}"/>
    <hyperlink ref="H63966" r:id="rId5" display="https://www.aavso.org/ejaavso" xr:uid="{00000000-0004-0000-0100-000004000000}"/>
    <hyperlink ref="AP4984" r:id="rId6" display="http://cdsbib.u-strasbg.fr/cgi-bin/cdsbib?1990RMxAA..21..381G" xr:uid="{00000000-0004-0000-0100-000005000000}"/>
    <hyperlink ref="AP4987" r:id="rId7" display="http://cdsbib.u-strasbg.fr/cgi-bin/cdsbib?1990RMxAA..21..381G" xr:uid="{00000000-0004-0000-0100-000006000000}"/>
    <hyperlink ref="AP4985" r:id="rId8" display="http://cdsbib.u-strasbg.fr/cgi-bin/cdsbib?1990RMxAA..21..381G" xr:uid="{00000000-0004-0000-0100-000007000000}"/>
    <hyperlink ref="AP4969" r:id="rId9" display="http://cdsbib.u-strasbg.fr/cgi-bin/cdsbib?1990RMxAA..21..381G" xr:uid="{00000000-0004-0000-0100-000008000000}"/>
    <hyperlink ref="AQ5198" r:id="rId10" display="http://cdsbib.u-strasbg.fr/cgi-bin/cdsbib?1990RMxAA..21..381G" xr:uid="{00000000-0004-0000-0100-000009000000}"/>
    <hyperlink ref="AQ5202" r:id="rId11" display="http://cdsbib.u-strasbg.fr/cgi-bin/cdsbib?1990RMxAA..21..381G" xr:uid="{00000000-0004-0000-0100-00000A000000}"/>
    <hyperlink ref="AQ64882" r:id="rId12" display="http://cdsbib.u-strasbg.fr/cgi-bin/cdsbib?1990RMxAA..21..381G" xr:uid="{00000000-0004-0000-0100-00000B000000}"/>
    <hyperlink ref="I2090" r:id="rId13" display="http://vsolj.cetus-net.org/bulletin.html" xr:uid="{00000000-0004-0000-0100-00000C000000}"/>
    <hyperlink ref="H2090" r:id="rId14" display="http://vsolj.cetus-net.org/bulletin.html" xr:uid="{00000000-0004-0000-0100-00000D000000}"/>
    <hyperlink ref="AQ7" r:id="rId15" display="http://cdsbib.u-strasbg.fr/cgi-bin/cdsbib?1990RMxAA..21..381G" xr:uid="{00000000-0004-0000-0100-00000E000000}"/>
    <hyperlink ref="AQ6" r:id="rId16" display="http://cdsbib.u-strasbg.fr/cgi-bin/cdsbib?1990RMxAA..21..381G" xr:uid="{00000000-0004-0000-0100-00000F000000}"/>
    <hyperlink ref="AP3260" r:id="rId17" display="http://cdsbib.u-strasbg.fr/cgi-bin/cdsbib?1990RMxAA..21..381G" xr:uid="{00000000-0004-0000-0100-000010000000}"/>
    <hyperlink ref="AP3278" r:id="rId18" display="http://cdsbib.u-strasbg.fr/cgi-bin/cdsbib?1990RMxAA..21..381G" xr:uid="{00000000-0004-0000-0100-000011000000}"/>
    <hyperlink ref="AP3279" r:id="rId19" display="http://cdsbib.u-strasbg.fr/cgi-bin/cdsbib?1990RMxAA..21..381G" xr:uid="{00000000-0004-0000-0100-000012000000}"/>
    <hyperlink ref="AP3275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(failed)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2024-07-27T07:01:09Z</dcterms:modified>
</cp:coreProperties>
</file>