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9BC7EF0-5F24-4862-B01F-04D9BA6E99F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21" i="1" l="1"/>
  <c r="Q21" i="1" s="1"/>
  <c r="A21" i="1"/>
  <c r="Q29" i="1"/>
  <c r="G19" i="2"/>
  <c r="C19" i="2"/>
  <c r="G18" i="2"/>
  <c r="C18" i="2"/>
  <c r="G20" i="2"/>
  <c r="C20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19" i="2"/>
  <c r="D19" i="2"/>
  <c r="B19" i="2"/>
  <c r="A19" i="2"/>
  <c r="H18" i="2"/>
  <c r="B18" i="2"/>
  <c r="D18" i="2"/>
  <c r="A18" i="2"/>
  <c r="H20" i="2"/>
  <c r="D20" i="2"/>
  <c r="B20" i="2"/>
  <c r="A20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31" i="1"/>
  <c r="F11" i="1"/>
  <c r="Q30" i="1"/>
  <c r="G11" i="1"/>
  <c r="E14" i="1"/>
  <c r="E15" i="1" s="1"/>
  <c r="C17" i="1"/>
  <c r="Q23" i="1"/>
  <c r="Q28" i="1"/>
  <c r="Q27" i="1"/>
  <c r="Q22" i="1"/>
  <c r="Q24" i="1"/>
  <c r="Q25" i="1"/>
  <c r="Q26" i="1"/>
  <c r="E21" i="1"/>
  <c r="F21" i="1"/>
  <c r="C7" i="1"/>
  <c r="E29" i="1"/>
  <c r="F29" i="1"/>
  <c r="C8" i="1"/>
  <c r="E20" i="2"/>
  <c r="E18" i="2"/>
  <c r="E22" i="1"/>
  <c r="F22" i="1"/>
  <c r="G22" i="1"/>
  <c r="E30" i="1"/>
  <c r="F30" i="1"/>
  <c r="G30" i="1"/>
  <c r="I30" i="1"/>
  <c r="E26" i="1"/>
  <c r="F26" i="1"/>
  <c r="G26" i="1"/>
  <c r="I26" i="1"/>
  <c r="E28" i="1"/>
  <c r="F28" i="1"/>
  <c r="G28" i="1"/>
  <c r="I28" i="1"/>
  <c r="E25" i="1"/>
  <c r="F25" i="1"/>
  <c r="G25" i="1"/>
  <c r="I25" i="1"/>
  <c r="E31" i="1"/>
  <c r="F31" i="1"/>
  <c r="G31" i="1"/>
  <c r="J31" i="1"/>
  <c r="G29" i="1"/>
  <c r="K29" i="1"/>
  <c r="E23" i="1"/>
  <c r="F23" i="1"/>
  <c r="G23" i="1"/>
  <c r="J23" i="1"/>
  <c r="E27" i="1"/>
  <c r="F27" i="1"/>
  <c r="G27" i="1"/>
  <c r="I27" i="1"/>
  <c r="E24" i="1"/>
  <c r="F24" i="1"/>
  <c r="G24" i="1"/>
  <c r="I24" i="1"/>
  <c r="I22" i="1"/>
  <c r="E13" i="2"/>
  <c r="E12" i="2"/>
  <c r="E17" i="2"/>
  <c r="E11" i="2"/>
  <c r="E14" i="2"/>
  <c r="E16" i="2"/>
  <c r="E19" i="2"/>
  <c r="E15" i="2"/>
  <c r="C12" i="1"/>
  <c r="C16" i="1" l="1"/>
  <c r="D18" i="1" s="1"/>
  <c r="C11" i="1"/>
  <c r="O21" i="1" l="1"/>
  <c r="O31" i="1"/>
  <c r="O23" i="1"/>
  <c r="O22" i="1"/>
  <c r="O25" i="1"/>
  <c r="O29" i="1"/>
  <c r="O26" i="1"/>
  <c r="O24" i="1"/>
  <c r="O30" i="1"/>
  <c r="O27" i="1"/>
  <c r="C15" i="1"/>
  <c r="O28" i="1"/>
  <c r="C18" i="1" l="1"/>
  <c r="E16" i="1"/>
  <c r="E17" i="1" s="1"/>
</calcChain>
</file>

<file path=xl/sharedStrings.xml><?xml version="1.0" encoding="utf-8"?>
<sst xmlns="http://schemas.openxmlformats.org/spreadsheetml/2006/main" count="160" uniqueCount="115">
  <si>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</si>
  <si>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</si>
  <si>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</si>
  <si>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</si>
  <si>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</si>
  <si>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</si>
  <si>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</si>
  <si>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</si>
  <si>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</si>
  <si>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</si>
  <si>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</si>
  <si>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</si>
  <si>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</si>
  <si>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</si>
  <si>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</si>
  <si>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</si>
  <si>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</si>
  <si>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</si>
  <si>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</si>
  <si>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</si>
  <si>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</si>
  <si>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</si>
  <si>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</si>
  <si>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</si>
  <si>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</si>
  <si>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</si>
  <si>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</si>
  <si>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</t>
  </si>
  <si>
    <t>E</t>
  </si>
  <si>
    <t>IBVS 5296</t>
  </si>
  <si>
    <t>IBVS 5484</t>
  </si>
  <si>
    <t>IBVS 5657</t>
  </si>
  <si>
    <t># of data points:</t>
  </si>
  <si>
    <t>IBVS 5731</t>
  </si>
  <si>
    <t>ZZ Lac / gsc 3619-0215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</si>
  <si>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</si>
  <si>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</si>
  <si>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</si>
  <si>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</si>
  <si>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</si>
  <si>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</si>
  <si>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</si>
  <si>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0074</t>
  </si>
  <si>
    <t>I</t>
  </si>
  <si>
    <t>CCD</t>
  </si>
  <si>
    <t>Add cycle</t>
  </si>
  <si>
    <t>Old Cycle</t>
  </si>
  <si>
    <t>IBVS 6011</t>
  </si>
  <si>
    <t>OEJV 0160</t>
  </si>
  <si>
    <t>OEJV</t>
  </si>
  <si>
    <t>Minima from the Lichtenknecker Database of the BAV</t>
  </si>
  <si>
    <t>C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</si>
  <si>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</si>
  <si>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</si>
  <si>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</si>
  <si>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</si>
  <si>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</si>
  <si>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</si>
  <si>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</si>
  <si>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2450677.3988 </t>
  </si>
  <si>
    <t> 16.08.1997 21:34 </t>
  </si>
  <si>
    <t> -0.0452 </t>
  </si>
  <si>
    <t>E </t>
  </si>
  <si>
    <t>o</t>
  </si>
  <si>
    <t> P.Frank </t>
  </si>
  <si>
    <t>BAVM 152 </t>
  </si>
  <si>
    <t>2452119.49870 </t>
  </si>
  <si>
    <t> 28.07.2001 23:58 </t>
  </si>
  <si>
    <t> 0.44370 </t>
  </si>
  <si>
    <t>C </t>
  </si>
  <si>
    <t> Koss et al. </t>
  </si>
  <si>
    <t>OEJV 0074 </t>
  </si>
  <si>
    <t>2452197.5271 </t>
  </si>
  <si>
    <t> 15.10.2001 00:39 </t>
  </si>
  <si>
    <t> 0.4691 </t>
  </si>
  <si>
    <t>-I</t>
  </si>
  <si>
    <t>BAVM 158 </t>
  </si>
  <si>
    <t>2452483.6023 </t>
  </si>
  <si>
    <t> 28.07.2002 02:27 </t>
  </si>
  <si>
    <t>9471</t>
  </si>
  <si>
    <t> 0.5333 </t>
  </si>
  <si>
    <t>2452486.4895 </t>
  </si>
  <si>
    <t> 30.07.2002 23:44 </t>
  </si>
  <si>
    <t>9472</t>
  </si>
  <si>
    <t> 0.5315 </t>
  </si>
  <si>
    <t>2453256.5830 </t>
  </si>
  <si>
    <t> 08.09.2004 01:59 </t>
  </si>
  <si>
    <t>9738.5</t>
  </si>
  <si>
    <t> 0.7065 </t>
  </si>
  <si>
    <t> F.Agerer </t>
  </si>
  <si>
    <t>BAVM 173 </t>
  </si>
  <si>
    <t>2453928.4250 </t>
  </si>
  <si>
    <t> 11.07.2006 22:12 </t>
  </si>
  <si>
    <t>9971</t>
  </si>
  <si>
    <t> 0.8560 </t>
  </si>
  <si>
    <t> Agerer </t>
  </si>
  <si>
    <t>BAVM 178 </t>
  </si>
  <si>
    <t>2455815.3652 </t>
  </si>
  <si>
    <t> 10.09.2011 20:45 </t>
  </si>
  <si>
    <t>10624</t>
  </si>
  <si>
    <t> 1.2792 </t>
  </si>
  <si>
    <t>BAVM 225 </t>
  </si>
  <si>
    <t>2455858.7077 </t>
  </si>
  <si>
    <t> 24.10.2011 04:59 </t>
  </si>
  <si>
    <t>10639</t>
  </si>
  <si>
    <t> 1.2867 </t>
  </si>
  <si>
    <t> R.Diethelm </t>
  </si>
  <si>
    <t>IBVS 6011 </t>
  </si>
  <si>
    <t>2456046.53631 </t>
  </si>
  <si>
    <t> 29.04.2012 00:52 </t>
  </si>
  <si>
    <t>10704</t>
  </si>
  <si>
    <t> 1.33031 </t>
  </si>
  <si>
    <t> J.Trnka </t>
  </si>
  <si>
    <t>OEJV 0160 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</si>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</sst>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8" fillId="0" borderId="0" xfId="0" applyFont="1" applyAlignment="1"/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2" borderId="0" xfId="0" applyFont="1" applyFill="1" applyAlignment="1"/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3" borderId="11" xfId="0" applyFont="1" applyFill="1" applyBorder="1" applyAlignment="1">
      <alignment horizontal="left" vertical="top" wrapText="1" inden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right" vertical="top" wrapText="1"/>
    </xf>
    <xf numFmtId="0" fontId="16" fillId="3" borderId="11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Lac - O-C Diagr.</a:t>
            </a:r>
          </a:p>
        </c:rich>
      </c:tx>
      <c:layout>
        <c:manualLayout>
          <c:xMode val="edge"/>
          <c:yMode val="edge"/>
          <c:x val="0.3828759450302960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906854902912253"/>
          <c:w val="0.81906365094252553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8846</c:v>
                </c:pt>
                <c:pt idx="2">
                  <c:v>9345</c:v>
                </c:pt>
                <c:pt idx="3">
                  <c:v>9372</c:v>
                </c:pt>
                <c:pt idx="4">
                  <c:v>9471</c:v>
                </c:pt>
                <c:pt idx="5">
                  <c:v>9472</c:v>
                </c:pt>
                <c:pt idx="6">
                  <c:v>9738.5</c:v>
                </c:pt>
                <c:pt idx="7">
                  <c:v>9971</c:v>
                </c:pt>
                <c:pt idx="8">
                  <c:v>10624</c:v>
                </c:pt>
                <c:pt idx="9">
                  <c:v>10639</c:v>
                </c:pt>
                <c:pt idx="10">
                  <c:v>10704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64-4425-885F-33B57F43E2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3.0999999999999999E-3</c:v>
                  </c:pt>
                  <c:pt idx="9">
                    <c:v>2.0000000000000001E-4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3.0999999999999999E-3</c:v>
                  </c:pt>
                  <c:pt idx="9">
                    <c:v>2.0000000000000001E-4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8846</c:v>
                </c:pt>
                <c:pt idx="2">
                  <c:v>9345</c:v>
                </c:pt>
                <c:pt idx="3">
                  <c:v>9372</c:v>
                </c:pt>
                <c:pt idx="4">
                  <c:v>9471</c:v>
                </c:pt>
                <c:pt idx="5">
                  <c:v>9472</c:v>
                </c:pt>
                <c:pt idx="6">
                  <c:v>9738.5</c:v>
                </c:pt>
                <c:pt idx="7">
                  <c:v>9971</c:v>
                </c:pt>
                <c:pt idx="8">
                  <c:v>10624</c:v>
                </c:pt>
                <c:pt idx="9">
                  <c:v>10639</c:v>
                </c:pt>
                <c:pt idx="10">
                  <c:v>10704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-4.5199999993201345E-2</c:v>
                </c:pt>
                <c:pt idx="3">
                  <c:v>0.46910000000207219</c:v>
                </c:pt>
                <c:pt idx="4">
                  <c:v>0.53330000000278233</c:v>
                </c:pt>
                <c:pt idx="5">
                  <c:v>0.53150000000459841</c:v>
                </c:pt>
                <c:pt idx="6">
                  <c:v>0.70650000000023283</c:v>
                </c:pt>
                <c:pt idx="7">
                  <c:v>0.85600000000704313</c:v>
                </c:pt>
                <c:pt idx="9">
                  <c:v>1.2867000000042026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64-4425-885F-33B57F43E2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3.0999999999999999E-3</c:v>
                  </c:pt>
                  <c:pt idx="9">
                    <c:v>2.0000000000000001E-4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3.0999999999999999E-3</c:v>
                  </c:pt>
                  <c:pt idx="9">
                    <c:v>2.0000000000000001E-4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8846</c:v>
                </c:pt>
                <c:pt idx="2">
                  <c:v>9345</c:v>
                </c:pt>
                <c:pt idx="3">
                  <c:v>9372</c:v>
                </c:pt>
                <c:pt idx="4">
                  <c:v>9471</c:v>
                </c:pt>
                <c:pt idx="5">
                  <c:v>9472</c:v>
                </c:pt>
                <c:pt idx="6">
                  <c:v>9738.5</c:v>
                </c:pt>
                <c:pt idx="7">
                  <c:v>9971</c:v>
                </c:pt>
                <c:pt idx="8">
                  <c:v>10624</c:v>
                </c:pt>
                <c:pt idx="9">
                  <c:v>10639</c:v>
                </c:pt>
                <c:pt idx="10">
                  <c:v>10704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0.44370000000344589</c:v>
                </c:pt>
                <c:pt idx="10">
                  <c:v>1.3303100000121049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64-4425-885F-33B57F43E2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3.0999999999999999E-3</c:v>
                  </c:pt>
                  <c:pt idx="9">
                    <c:v>2.0000000000000001E-4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3.0999999999999999E-3</c:v>
                  </c:pt>
                  <c:pt idx="9">
                    <c:v>2.0000000000000001E-4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8846</c:v>
                </c:pt>
                <c:pt idx="2">
                  <c:v>9345</c:v>
                </c:pt>
                <c:pt idx="3">
                  <c:v>9372</c:v>
                </c:pt>
                <c:pt idx="4">
                  <c:v>9471</c:v>
                </c:pt>
                <c:pt idx="5">
                  <c:v>9472</c:v>
                </c:pt>
                <c:pt idx="6">
                  <c:v>9738.5</c:v>
                </c:pt>
                <c:pt idx="7">
                  <c:v>9971</c:v>
                </c:pt>
                <c:pt idx="8">
                  <c:v>10624</c:v>
                </c:pt>
                <c:pt idx="9">
                  <c:v>10639</c:v>
                </c:pt>
                <c:pt idx="10">
                  <c:v>10704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8">
                  <c:v>1.2792000000044936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64-4425-885F-33B57F43E2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3.0999999999999999E-3</c:v>
                  </c:pt>
                  <c:pt idx="9">
                    <c:v>2.0000000000000001E-4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3.0999999999999999E-3</c:v>
                  </c:pt>
                  <c:pt idx="9">
                    <c:v>2.0000000000000001E-4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8846</c:v>
                </c:pt>
                <c:pt idx="2">
                  <c:v>9345</c:v>
                </c:pt>
                <c:pt idx="3">
                  <c:v>9372</c:v>
                </c:pt>
                <c:pt idx="4">
                  <c:v>9471</c:v>
                </c:pt>
                <c:pt idx="5">
                  <c:v>9472</c:v>
                </c:pt>
                <c:pt idx="6">
                  <c:v>9738.5</c:v>
                </c:pt>
                <c:pt idx="7">
                  <c:v>9971</c:v>
                </c:pt>
                <c:pt idx="8">
                  <c:v>10624</c:v>
                </c:pt>
                <c:pt idx="9">
                  <c:v>10639</c:v>
                </c:pt>
                <c:pt idx="10">
                  <c:v>10704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64-4425-885F-33B57F43E2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3.0999999999999999E-3</c:v>
                  </c:pt>
                  <c:pt idx="9">
                    <c:v>2.0000000000000001E-4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3.0999999999999999E-3</c:v>
                  </c:pt>
                  <c:pt idx="9">
                    <c:v>2.0000000000000001E-4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8846</c:v>
                </c:pt>
                <c:pt idx="2">
                  <c:v>9345</c:v>
                </c:pt>
                <c:pt idx="3">
                  <c:v>9372</c:v>
                </c:pt>
                <c:pt idx="4">
                  <c:v>9471</c:v>
                </c:pt>
                <c:pt idx="5">
                  <c:v>9472</c:v>
                </c:pt>
                <c:pt idx="6">
                  <c:v>9738.5</c:v>
                </c:pt>
                <c:pt idx="7">
                  <c:v>9971</c:v>
                </c:pt>
                <c:pt idx="8">
                  <c:v>10624</c:v>
                </c:pt>
                <c:pt idx="9">
                  <c:v>10639</c:v>
                </c:pt>
                <c:pt idx="10">
                  <c:v>10704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64-4425-885F-33B57F43E2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3.0999999999999999E-3</c:v>
                  </c:pt>
                  <c:pt idx="9">
                    <c:v>2.0000000000000001E-4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3.0999999999999999E-3</c:v>
                  </c:pt>
                  <c:pt idx="9">
                    <c:v>2.0000000000000001E-4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8846</c:v>
                </c:pt>
                <c:pt idx="2">
                  <c:v>9345</c:v>
                </c:pt>
                <c:pt idx="3">
                  <c:v>9372</c:v>
                </c:pt>
                <c:pt idx="4">
                  <c:v>9471</c:v>
                </c:pt>
                <c:pt idx="5">
                  <c:v>9472</c:v>
                </c:pt>
                <c:pt idx="6">
                  <c:v>9738.5</c:v>
                </c:pt>
                <c:pt idx="7">
                  <c:v>9971</c:v>
                </c:pt>
                <c:pt idx="8">
                  <c:v>10624</c:v>
                </c:pt>
                <c:pt idx="9">
                  <c:v>10639</c:v>
                </c:pt>
                <c:pt idx="10">
                  <c:v>10704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64-4425-885F-33B57F43E2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8846</c:v>
                </c:pt>
                <c:pt idx="2">
                  <c:v>9345</c:v>
                </c:pt>
                <c:pt idx="3">
                  <c:v>9372</c:v>
                </c:pt>
                <c:pt idx="4">
                  <c:v>9471</c:v>
                </c:pt>
                <c:pt idx="5">
                  <c:v>9472</c:v>
                </c:pt>
                <c:pt idx="6">
                  <c:v>9738.5</c:v>
                </c:pt>
                <c:pt idx="7">
                  <c:v>9971</c:v>
                </c:pt>
                <c:pt idx="8">
                  <c:v>10624</c:v>
                </c:pt>
                <c:pt idx="9">
                  <c:v>10639</c:v>
                </c:pt>
                <c:pt idx="10">
                  <c:v>10704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-6.0622323578368098</c:v>
                </c:pt>
                <c:pt idx="1">
                  <c:v>6.560950231817575E-2</c:v>
                </c:pt>
                <c:pt idx="2">
                  <c:v>0.41127908045714623</c:v>
                </c:pt>
                <c:pt idx="3">
                  <c:v>0.42998264480534765</c:v>
                </c:pt>
                <c:pt idx="4">
                  <c:v>0.49856238074875048</c:v>
                </c:pt>
                <c:pt idx="5">
                  <c:v>0.49925510535423978</c:v>
                </c:pt>
                <c:pt idx="6">
                  <c:v>0.68386621271703607</c:v>
                </c:pt>
                <c:pt idx="7">
                  <c:v>0.84492468349321026</c:v>
                </c:pt>
                <c:pt idx="8">
                  <c:v>1.2972738508774748</c:v>
                </c:pt>
                <c:pt idx="9">
                  <c:v>1.307664719959809</c:v>
                </c:pt>
                <c:pt idx="10">
                  <c:v>1.3526918193165889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64-4425-885F-33B57F43E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768576"/>
        <c:axId val="1"/>
      </c:scatterChart>
      <c:valAx>
        <c:axId val="690768576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768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01309367831443"/>
          <c:y val="0.91925596256989606"/>
          <c:w val="0.74636561382977373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Lac - O-C Diagr.</a:t>
            </a:r>
          </a:p>
        </c:rich>
      </c:tx>
      <c:layout>
        <c:manualLayout>
          <c:xMode val="edge"/>
          <c:yMode val="edge"/>
          <c:x val="0.3822580645161290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12903225806452"/>
          <c:y val="0.14860681114551083"/>
          <c:w val="0.83387096774193548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8846</c:v>
                </c:pt>
                <c:pt idx="2">
                  <c:v>9345</c:v>
                </c:pt>
                <c:pt idx="3">
                  <c:v>9372</c:v>
                </c:pt>
                <c:pt idx="4">
                  <c:v>9471</c:v>
                </c:pt>
                <c:pt idx="5">
                  <c:v>9472</c:v>
                </c:pt>
                <c:pt idx="6">
                  <c:v>9738.5</c:v>
                </c:pt>
                <c:pt idx="7">
                  <c:v>9971</c:v>
                </c:pt>
                <c:pt idx="8">
                  <c:v>10624</c:v>
                </c:pt>
                <c:pt idx="9">
                  <c:v>10639</c:v>
                </c:pt>
                <c:pt idx="10">
                  <c:v>10704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80-479D-A74D-386E97CA551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3.0999999999999999E-3</c:v>
                  </c:pt>
                  <c:pt idx="9">
                    <c:v>2.0000000000000001E-4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3.0999999999999999E-3</c:v>
                  </c:pt>
                  <c:pt idx="9">
                    <c:v>2.0000000000000001E-4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8846</c:v>
                </c:pt>
                <c:pt idx="2">
                  <c:v>9345</c:v>
                </c:pt>
                <c:pt idx="3">
                  <c:v>9372</c:v>
                </c:pt>
                <c:pt idx="4">
                  <c:v>9471</c:v>
                </c:pt>
                <c:pt idx="5">
                  <c:v>9472</c:v>
                </c:pt>
                <c:pt idx="6">
                  <c:v>9738.5</c:v>
                </c:pt>
                <c:pt idx="7">
                  <c:v>9971</c:v>
                </c:pt>
                <c:pt idx="8">
                  <c:v>10624</c:v>
                </c:pt>
                <c:pt idx="9">
                  <c:v>10639</c:v>
                </c:pt>
                <c:pt idx="10">
                  <c:v>10704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-4.5199999993201345E-2</c:v>
                </c:pt>
                <c:pt idx="3">
                  <c:v>0.46910000000207219</c:v>
                </c:pt>
                <c:pt idx="4">
                  <c:v>0.53330000000278233</c:v>
                </c:pt>
                <c:pt idx="5">
                  <c:v>0.53150000000459841</c:v>
                </c:pt>
                <c:pt idx="6">
                  <c:v>0.70650000000023283</c:v>
                </c:pt>
                <c:pt idx="7">
                  <c:v>0.85600000000704313</c:v>
                </c:pt>
                <c:pt idx="9">
                  <c:v>1.2867000000042026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80-479D-A74D-386E97CA551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3.0999999999999999E-3</c:v>
                  </c:pt>
                  <c:pt idx="9">
                    <c:v>2.0000000000000001E-4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3.0999999999999999E-3</c:v>
                  </c:pt>
                  <c:pt idx="9">
                    <c:v>2.0000000000000001E-4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8846</c:v>
                </c:pt>
                <c:pt idx="2">
                  <c:v>9345</c:v>
                </c:pt>
                <c:pt idx="3">
                  <c:v>9372</c:v>
                </c:pt>
                <c:pt idx="4">
                  <c:v>9471</c:v>
                </c:pt>
                <c:pt idx="5">
                  <c:v>9472</c:v>
                </c:pt>
                <c:pt idx="6">
                  <c:v>9738.5</c:v>
                </c:pt>
                <c:pt idx="7">
                  <c:v>9971</c:v>
                </c:pt>
                <c:pt idx="8">
                  <c:v>10624</c:v>
                </c:pt>
                <c:pt idx="9">
                  <c:v>10639</c:v>
                </c:pt>
                <c:pt idx="10">
                  <c:v>10704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0.44370000000344589</c:v>
                </c:pt>
                <c:pt idx="10">
                  <c:v>1.3303100000121049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80-479D-A74D-386E97CA551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3.0999999999999999E-3</c:v>
                  </c:pt>
                  <c:pt idx="9">
                    <c:v>2.0000000000000001E-4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3.0999999999999999E-3</c:v>
                  </c:pt>
                  <c:pt idx="9">
                    <c:v>2.0000000000000001E-4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8846</c:v>
                </c:pt>
                <c:pt idx="2">
                  <c:v>9345</c:v>
                </c:pt>
                <c:pt idx="3">
                  <c:v>9372</c:v>
                </c:pt>
                <c:pt idx="4">
                  <c:v>9471</c:v>
                </c:pt>
                <c:pt idx="5">
                  <c:v>9472</c:v>
                </c:pt>
                <c:pt idx="6">
                  <c:v>9738.5</c:v>
                </c:pt>
                <c:pt idx="7">
                  <c:v>9971</c:v>
                </c:pt>
                <c:pt idx="8">
                  <c:v>10624</c:v>
                </c:pt>
                <c:pt idx="9">
                  <c:v>10639</c:v>
                </c:pt>
                <c:pt idx="10">
                  <c:v>10704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8">
                  <c:v>1.2792000000044936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80-479D-A74D-386E97CA551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3.0999999999999999E-3</c:v>
                  </c:pt>
                  <c:pt idx="9">
                    <c:v>2.0000000000000001E-4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3.0999999999999999E-3</c:v>
                  </c:pt>
                  <c:pt idx="9">
                    <c:v>2.0000000000000001E-4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8846</c:v>
                </c:pt>
                <c:pt idx="2">
                  <c:v>9345</c:v>
                </c:pt>
                <c:pt idx="3">
                  <c:v>9372</c:v>
                </c:pt>
                <c:pt idx="4">
                  <c:v>9471</c:v>
                </c:pt>
                <c:pt idx="5">
                  <c:v>9472</c:v>
                </c:pt>
                <c:pt idx="6">
                  <c:v>9738.5</c:v>
                </c:pt>
                <c:pt idx="7">
                  <c:v>9971</c:v>
                </c:pt>
                <c:pt idx="8">
                  <c:v>10624</c:v>
                </c:pt>
                <c:pt idx="9">
                  <c:v>10639</c:v>
                </c:pt>
                <c:pt idx="10">
                  <c:v>10704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80-479D-A74D-386E97CA55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3.0999999999999999E-3</c:v>
                  </c:pt>
                  <c:pt idx="9">
                    <c:v>2.0000000000000001E-4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3.0999999999999999E-3</c:v>
                  </c:pt>
                  <c:pt idx="9">
                    <c:v>2.0000000000000001E-4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8846</c:v>
                </c:pt>
                <c:pt idx="2">
                  <c:v>9345</c:v>
                </c:pt>
                <c:pt idx="3">
                  <c:v>9372</c:v>
                </c:pt>
                <c:pt idx="4">
                  <c:v>9471</c:v>
                </c:pt>
                <c:pt idx="5">
                  <c:v>9472</c:v>
                </c:pt>
                <c:pt idx="6">
                  <c:v>9738.5</c:v>
                </c:pt>
                <c:pt idx="7">
                  <c:v>9971</c:v>
                </c:pt>
                <c:pt idx="8">
                  <c:v>10624</c:v>
                </c:pt>
                <c:pt idx="9">
                  <c:v>10639</c:v>
                </c:pt>
                <c:pt idx="10">
                  <c:v>10704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80-479D-A74D-386E97CA55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3.0999999999999999E-3</c:v>
                  </c:pt>
                  <c:pt idx="9">
                    <c:v>2.0000000000000001E-4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3.0999999999999999E-3</c:v>
                  </c:pt>
                  <c:pt idx="9">
                    <c:v>2.0000000000000001E-4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8846</c:v>
                </c:pt>
                <c:pt idx="2">
                  <c:v>9345</c:v>
                </c:pt>
                <c:pt idx="3">
                  <c:v>9372</c:v>
                </c:pt>
                <c:pt idx="4">
                  <c:v>9471</c:v>
                </c:pt>
                <c:pt idx="5">
                  <c:v>9472</c:v>
                </c:pt>
                <c:pt idx="6">
                  <c:v>9738.5</c:v>
                </c:pt>
                <c:pt idx="7">
                  <c:v>9971</c:v>
                </c:pt>
                <c:pt idx="8">
                  <c:v>10624</c:v>
                </c:pt>
                <c:pt idx="9">
                  <c:v>10639</c:v>
                </c:pt>
                <c:pt idx="10">
                  <c:v>10704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80-479D-A74D-386E97CA55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8846</c:v>
                </c:pt>
                <c:pt idx="2">
                  <c:v>9345</c:v>
                </c:pt>
                <c:pt idx="3">
                  <c:v>9372</c:v>
                </c:pt>
                <c:pt idx="4">
                  <c:v>9471</c:v>
                </c:pt>
                <c:pt idx="5">
                  <c:v>9472</c:v>
                </c:pt>
                <c:pt idx="6">
                  <c:v>9738.5</c:v>
                </c:pt>
                <c:pt idx="7">
                  <c:v>9971</c:v>
                </c:pt>
                <c:pt idx="8">
                  <c:v>10624</c:v>
                </c:pt>
                <c:pt idx="9">
                  <c:v>10639</c:v>
                </c:pt>
                <c:pt idx="10">
                  <c:v>10704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-6.0622323578368098</c:v>
                </c:pt>
                <c:pt idx="1">
                  <c:v>6.560950231817575E-2</c:v>
                </c:pt>
                <c:pt idx="2">
                  <c:v>0.41127908045714623</c:v>
                </c:pt>
                <c:pt idx="3">
                  <c:v>0.42998264480534765</c:v>
                </c:pt>
                <c:pt idx="4">
                  <c:v>0.49856238074875048</c:v>
                </c:pt>
                <c:pt idx="5">
                  <c:v>0.49925510535423978</c:v>
                </c:pt>
                <c:pt idx="6">
                  <c:v>0.68386621271703607</c:v>
                </c:pt>
                <c:pt idx="7">
                  <c:v>0.84492468349321026</c:v>
                </c:pt>
                <c:pt idx="8">
                  <c:v>1.2972738508774748</c:v>
                </c:pt>
                <c:pt idx="9">
                  <c:v>1.307664719959809</c:v>
                </c:pt>
                <c:pt idx="10">
                  <c:v>1.3526918193165889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80-479D-A74D-386E97CA5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764976"/>
        <c:axId val="1"/>
      </c:scatterChart>
      <c:valAx>
        <c:axId val="690764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29032258064511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764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29032258064516"/>
          <c:y val="0.91950464396284826"/>
          <c:w val="0.7451612903225806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28574</xdr:rowOff>
    </xdr:from>
    <xdr:to>
      <xdr:col>17</xdr:col>
      <xdr:colOff>333375</xdr:colOff>
      <xdr:row>18</xdr:row>
      <xdr:rowOff>95249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FC2B6C6-5BF1-B26B-85FB-491347363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514350</xdr:colOff>
      <xdr:row>0</xdr:row>
      <xdr:rowOff>19050</xdr:rowOff>
    </xdr:from>
    <xdr:to>
      <xdr:col>27</xdr:col>
      <xdr:colOff>152400</xdr:colOff>
      <xdr:row>18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0562608-7AA8-77AB-13E8-5FEF38269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58" TargetMode="External"/><Relationship Id="rId7" Type="http://schemas.openxmlformats.org/officeDocument/2006/relationships/hyperlink" Target="http://www.bav-astro.de/sfs/BAVM_link.php?BAVMnr=178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bav-astro.de/sfs/BAVM_link.php?BAVMnr=173" TargetMode="External"/><Relationship Id="rId5" Type="http://schemas.openxmlformats.org/officeDocument/2006/relationships/hyperlink" Target="http://www.bav-astro.de/sfs/BAVM_link.php?BAVMnr=158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34</v>
      </c>
    </row>
    <row r="2" spans="1:7" x14ac:dyDescent="0.2">
      <c r="A2" t="s">
        <v>24</v>
      </c>
      <c r="B2" s="10" t="s">
        <v>28</v>
      </c>
    </row>
    <row r="4" spans="1:7" x14ac:dyDescent="0.2">
      <c r="A4" s="7" t="s">
        <v>0</v>
      </c>
      <c r="C4" s="3">
        <v>25121.35</v>
      </c>
      <c r="D4" s="4">
        <v>2.8889999999999998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25121.35</v>
      </c>
      <c r="D7" s="62" t="s">
        <v>114</v>
      </c>
    </row>
    <row r="8" spans="1:7" x14ac:dyDescent="0.2">
      <c r="A8" t="s">
        <v>3</v>
      </c>
      <c r="C8">
        <f>+D4</f>
        <v>2.8889999999999998</v>
      </c>
      <c r="D8" s="62" t="s">
        <v>114</v>
      </c>
    </row>
    <row r="9" spans="1:7" x14ac:dyDescent="0.2">
      <c r="A9" s="13" t="s">
        <v>35</v>
      </c>
      <c r="B9" s="10"/>
      <c r="C9" s="14">
        <v>-9.5</v>
      </c>
      <c r="D9" s="10" t="s">
        <v>36</v>
      </c>
      <c r="E9" s="10"/>
    </row>
    <row r="10" spans="1:7" ht="13.5" thickBot="1" x14ac:dyDescent="0.25">
      <c r="A10" s="10"/>
      <c r="B10" s="10"/>
      <c r="C10" s="6" t="s">
        <v>20</v>
      </c>
      <c r="D10" s="6" t="s">
        <v>21</v>
      </c>
      <c r="E10" s="10"/>
    </row>
    <row r="11" spans="1:7" x14ac:dyDescent="0.2">
      <c r="A11" s="10" t="s">
        <v>16</v>
      </c>
      <c r="B11" s="10"/>
      <c r="C11" s="15">
        <f ca="1">INTERCEPT(INDIRECT($G$11):G992,INDIRECT($F$11):F992)</f>
        <v>-6.0622323578368098</v>
      </c>
      <c r="D11" s="5"/>
      <c r="E11" s="10"/>
      <c r="F11" s="16" t="str">
        <f>"F"&amp;E19</f>
        <v>F21</v>
      </c>
      <c r="G11" s="12" t="str">
        <f>"G"&amp;E19</f>
        <v>G21</v>
      </c>
    </row>
    <row r="12" spans="1:7" x14ac:dyDescent="0.2">
      <c r="A12" s="10" t="s">
        <v>17</v>
      </c>
      <c r="B12" s="10"/>
      <c r="C12" s="15">
        <f ca="1">SLOPE(INDIRECT($G$11):G992,INDIRECT($F$11):F992)</f>
        <v>6.9272460548891988E-4</v>
      </c>
      <c r="D12" s="5"/>
      <c r="E12" s="10"/>
    </row>
    <row r="13" spans="1:7" x14ac:dyDescent="0.2">
      <c r="A13" s="10" t="s">
        <v>19</v>
      </c>
      <c r="B13" s="10"/>
      <c r="C13" s="5" t="s">
        <v>14</v>
      </c>
      <c r="D13" s="19" t="s">
        <v>45</v>
      </c>
      <c r="E13" s="14">
        <v>1</v>
      </c>
    </row>
    <row r="14" spans="1:7" x14ac:dyDescent="0.2">
      <c r="A14" s="10"/>
      <c r="B14" s="10"/>
      <c r="C14" s="10"/>
      <c r="D14" s="19" t="s">
        <v>37</v>
      </c>
      <c r="E14" s="20">
        <f ca="1">NOW()+15018.5+$C$9/24</f>
        <v>60357.747240046294</v>
      </c>
    </row>
    <row r="15" spans="1:7" x14ac:dyDescent="0.2">
      <c r="A15" s="17" t="s">
        <v>18</v>
      </c>
      <c r="B15" s="10"/>
      <c r="C15" s="18">
        <f ca="1">(C7+C11)+(C8+C12)*INT(MAX(F21:F3533))</f>
        <v>56046.558691819315</v>
      </c>
      <c r="D15" s="19" t="s">
        <v>46</v>
      </c>
      <c r="E15" s="20">
        <f ca="1">ROUND(2*(E14-$C$7)/$C$8,0)/2+E13</f>
        <v>12197.5</v>
      </c>
    </row>
    <row r="16" spans="1:7" x14ac:dyDescent="0.2">
      <c r="A16" s="21" t="s">
        <v>4</v>
      </c>
      <c r="B16" s="10"/>
      <c r="C16" s="22">
        <f ca="1">+C8+C12</f>
        <v>2.8896927246054886</v>
      </c>
      <c r="D16" s="19" t="s">
        <v>38</v>
      </c>
      <c r="E16" s="12">
        <f ca="1">ROUND(2*(E14-$C$15)/$C$16,0)/2+E13</f>
        <v>1493</v>
      </c>
    </row>
    <row r="17" spans="1:17" ht="13.5" thickBot="1" x14ac:dyDescent="0.25">
      <c r="A17" s="19" t="s">
        <v>32</v>
      </c>
      <c r="B17" s="10"/>
      <c r="C17" s="10">
        <f>COUNT(C21:C2191)</f>
        <v>11</v>
      </c>
      <c r="D17" s="19" t="s">
        <v>39</v>
      </c>
      <c r="E17" s="23">
        <f ca="1">+$C$15+$C$16*E16-15018.5-$C$9/24</f>
        <v>45342.765762988645</v>
      </c>
    </row>
    <row r="18" spans="1:17" x14ac:dyDescent="0.2">
      <c r="A18" s="21" t="s">
        <v>5</v>
      </c>
      <c r="B18" s="10"/>
      <c r="C18" s="24">
        <f ca="1">+C15</f>
        <v>56046.558691819315</v>
      </c>
      <c r="D18" s="25">
        <f ca="1">+C16</f>
        <v>2.8896927246054886</v>
      </c>
      <c r="E18" s="26" t="s">
        <v>40</v>
      </c>
    </row>
    <row r="19" spans="1:17" ht="13.5" thickTop="1" x14ac:dyDescent="0.2">
      <c r="A19" s="27" t="s">
        <v>41</v>
      </c>
      <c r="E19" s="28">
        <v>21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27</v>
      </c>
      <c r="J20" s="9" t="s">
        <v>49</v>
      </c>
      <c r="K20" s="9" t="s">
        <v>58</v>
      </c>
      <c r="L20" s="9" t="s">
        <v>44</v>
      </c>
      <c r="M20" s="9" t="s">
        <v>25</v>
      </c>
      <c r="N20" s="9" t="s">
        <v>26</v>
      </c>
      <c r="O20" s="9" t="s">
        <v>23</v>
      </c>
      <c r="P20" s="8" t="s">
        <v>22</v>
      </c>
      <c r="Q20" s="6" t="s">
        <v>15</v>
      </c>
    </row>
    <row r="21" spans="1:17" x14ac:dyDescent="0.2">
      <c r="A21" t="str">
        <f>$D$7</f>
        <v>VSX</v>
      </c>
      <c r="C21" s="29">
        <f>$C$7</f>
        <v>25121.35</v>
      </c>
      <c r="D21" s="29" t="s">
        <v>14</v>
      </c>
      <c r="E21">
        <f t="shared" ref="E21:E31" si="0">+(C21-C$7)/C$8</f>
        <v>0</v>
      </c>
      <c r="F21">
        <f t="shared" ref="F21:F27" si="1">ROUND(2*E21,0)/2</f>
        <v>0</v>
      </c>
      <c r="H21" s="12">
        <v>0</v>
      </c>
      <c r="O21">
        <f t="shared" ref="O21:O31" ca="1" si="2">+C$11+C$12*$F21</f>
        <v>-6.0622323578368098</v>
      </c>
      <c r="Q21" s="2">
        <f t="shared" ref="Q21:Q31" si="3">+C21-15018.5</f>
        <v>10102.849999999999</v>
      </c>
    </row>
    <row r="22" spans="1:17" x14ac:dyDescent="0.2">
      <c r="A22" s="11" t="s">
        <v>29</v>
      </c>
      <c r="B22" s="31"/>
      <c r="C22" s="32">
        <v>50677.398800000003</v>
      </c>
      <c r="D22" s="32">
        <v>5.9999999999999995E-4</v>
      </c>
      <c r="E22">
        <f t="shared" si="0"/>
        <v>8845.9843544479081</v>
      </c>
      <c r="F22">
        <f t="shared" si="1"/>
        <v>8846</v>
      </c>
      <c r="G22">
        <f t="shared" ref="G22:G31" si="4">+C22-(C$7+F22*C$8)</f>
        <v>-4.5199999993201345E-2</v>
      </c>
      <c r="I22">
        <f>+G22</f>
        <v>-4.5199999993201345E-2</v>
      </c>
      <c r="O22">
        <f t="shared" ca="1" si="2"/>
        <v>6.560950231817575E-2</v>
      </c>
      <c r="Q22" s="2">
        <f t="shared" si="3"/>
        <v>35658.898800000003</v>
      </c>
    </row>
    <row r="23" spans="1:17" x14ac:dyDescent="0.2">
      <c r="A23" s="33" t="s">
        <v>42</v>
      </c>
      <c r="B23" s="34" t="s">
        <v>43</v>
      </c>
      <c r="C23" s="33">
        <v>52119.498699999996</v>
      </c>
      <c r="D23" s="33" t="s">
        <v>44</v>
      </c>
      <c r="E23">
        <f t="shared" si="0"/>
        <v>9345.1535825545179</v>
      </c>
      <c r="F23">
        <f t="shared" si="1"/>
        <v>9345</v>
      </c>
      <c r="G23">
        <f t="shared" si="4"/>
        <v>0.44370000000344589</v>
      </c>
      <c r="J23">
        <f>+G23</f>
        <v>0.44370000000344589</v>
      </c>
      <c r="O23">
        <f t="shared" ca="1" si="2"/>
        <v>0.41127908045714623</v>
      </c>
      <c r="Q23" s="2">
        <f t="shared" si="3"/>
        <v>37100.998699999996</v>
      </c>
    </row>
    <row r="24" spans="1:17" x14ac:dyDescent="0.2">
      <c r="A24" s="11" t="s">
        <v>30</v>
      </c>
      <c r="B24" s="31"/>
      <c r="C24" s="32">
        <v>52197.527099999999</v>
      </c>
      <c r="D24" s="32">
        <v>8.0000000000000004E-4</v>
      </c>
      <c r="E24">
        <f t="shared" si="0"/>
        <v>9372.1623745240577</v>
      </c>
      <c r="F24">
        <f t="shared" si="1"/>
        <v>9372</v>
      </c>
      <c r="G24">
        <f t="shared" si="4"/>
        <v>0.46910000000207219</v>
      </c>
      <c r="I24">
        <f>+G24</f>
        <v>0.46910000000207219</v>
      </c>
      <c r="O24">
        <f t="shared" ca="1" si="2"/>
        <v>0.42998264480534765</v>
      </c>
      <c r="Q24" s="2">
        <f t="shared" si="3"/>
        <v>37179.027099999999</v>
      </c>
    </row>
    <row r="25" spans="1:17" x14ac:dyDescent="0.2">
      <c r="A25" s="11" t="s">
        <v>30</v>
      </c>
      <c r="B25" s="31"/>
      <c r="C25" s="32">
        <v>52483.602299999999</v>
      </c>
      <c r="D25" s="32">
        <v>8.0000000000000004E-4</v>
      </c>
      <c r="E25">
        <f t="shared" si="0"/>
        <v>9471.1845967462796</v>
      </c>
      <c r="F25">
        <f t="shared" si="1"/>
        <v>9471</v>
      </c>
      <c r="G25">
        <f t="shared" si="4"/>
        <v>0.53330000000278233</v>
      </c>
      <c r="I25">
        <f>+G25</f>
        <v>0.53330000000278233</v>
      </c>
      <c r="O25">
        <f t="shared" ca="1" si="2"/>
        <v>0.49856238074875048</v>
      </c>
      <c r="Q25" s="2">
        <f t="shared" si="3"/>
        <v>37465.102299999999</v>
      </c>
    </row>
    <row r="26" spans="1:17" x14ac:dyDescent="0.2">
      <c r="A26" s="11" t="s">
        <v>30</v>
      </c>
      <c r="B26" s="31"/>
      <c r="C26" s="32">
        <v>52486.489500000003</v>
      </c>
      <c r="D26" s="32">
        <v>1.1999999999999999E-3</v>
      </c>
      <c r="E26">
        <f t="shared" si="0"/>
        <v>9472.1839736933216</v>
      </c>
      <c r="F26">
        <f t="shared" si="1"/>
        <v>9472</v>
      </c>
      <c r="G26">
        <f t="shared" si="4"/>
        <v>0.53150000000459841</v>
      </c>
      <c r="I26">
        <f>+G26</f>
        <v>0.53150000000459841</v>
      </c>
      <c r="O26">
        <f t="shared" ca="1" si="2"/>
        <v>0.49925510535423978</v>
      </c>
      <c r="Q26" s="2">
        <f t="shared" si="3"/>
        <v>37467.989500000003</v>
      </c>
    </row>
    <row r="27" spans="1:17" x14ac:dyDescent="0.2">
      <c r="A27" s="35" t="s">
        <v>31</v>
      </c>
      <c r="B27" s="36"/>
      <c r="C27" s="37">
        <v>53256.582999999999</v>
      </c>
      <c r="D27" s="37">
        <v>2.9999999999999997E-4</v>
      </c>
      <c r="E27">
        <f t="shared" si="0"/>
        <v>9738.744548286606</v>
      </c>
      <c r="F27">
        <f t="shared" si="1"/>
        <v>9738.5</v>
      </c>
      <c r="G27">
        <f t="shared" si="4"/>
        <v>0.70650000000023283</v>
      </c>
      <c r="I27">
        <f>+G27</f>
        <v>0.70650000000023283</v>
      </c>
      <c r="O27">
        <f t="shared" ca="1" si="2"/>
        <v>0.68386621271703607</v>
      </c>
      <c r="Q27" s="2">
        <f t="shared" si="3"/>
        <v>38238.082999999999</v>
      </c>
    </row>
    <row r="28" spans="1:17" x14ac:dyDescent="0.2">
      <c r="A28" s="38" t="s">
        <v>33</v>
      </c>
      <c r="B28" s="39"/>
      <c r="C28" s="37">
        <v>53928.425000000003</v>
      </c>
      <c r="D28" s="37">
        <v>3.0999999999999999E-3</v>
      </c>
      <c r="E28">
        <f t="shared" si="0"/>
        <v>9971.2962962962993</v>
      </c>
      <c r="F28" s="30">
        <f>ROUND(2*E28,0)/2-0.5</f>
        <v>9971</v>
      </c>
      <c r="G28">
        <f t="shared" si="4"/>
        <v>0.85600000000704313</v>
      </c>
      <c r="I28">
        <f>+G28</f>
        <v>0.85600000000704313</v>
      </c>
      <c r="O28">
        <f t="shared" ca="1" si="2"/>
        <v>0.84492468349321026</v>
      </c>
      <c r="Q28" s="2">
        <f t="shared" si="3"/>
        <v>38909.925000000003</v>
      </c>
    </row>
    <row r="29" spans="1:17" x14ac:dyDescent="0.2">
      <c r="A29" s="59" t="s">
        <v>101</v>
      </c>
      <c r="B29" s="61" t="s">
        <v>43</v>
      </c>
      <c r="C29" s="60">
        <v>55815.3652</v>
      </c>
      <c r="D29" s="37"/>
      <c r="E29">
        <f t="shared" si="0"/>
        <v>10624.442782969887</v>
      </c>
      <c r="F29" s="30">
        <f>ROUND(2*E29,0)/2-0.5</f>
        <v>10624</v>
      </c>
      <c r="G29">
        <f t="shared" si="4"/>
        <v>1.2792000000044936</v>
      </c>
      <c r="K29">
        <f>+G29</f>
        <v>1.2792000000044936</v>
      </c>
      <c r="O29">
        <f t="shared" ca="1" si="2"/>
        <v>1.2972738508774748</v>
      </c>
      <c r="Q29" s="2">
        <f t="shared" si="3"/>
        <v>40796.8652</v>
      </c>
    </row>
    <row r="30" spans="1:17" x14ac:dyDescent="0.2">
      <c r="A30" s="11" t="s">
        <v>47</v>
      </c>
      <c r="B30" s="40" t="s">
        <v>43</v>
      </c>
      <c r="C30" s="11">
        <v>55858.707699999999</v>
      </c>
      <c r="D30" s="11">
        <v>2.0000000000000001E-4</v>
      </c>
      <c r="E30">
        <f t="shared" si="0"/>
        <v>10639.445379023884</v>
      </c>
      <c r="F30" s="30">
        <f>ROUND(2*E30,0)/2-0.5</f>
        <v>10639</v>
      </c>
      <c r="G30">
        <f t="shared" si="4"/>
        <v>1.2867000000042026</v>
      </c>
      <c r="I30">
        <f>+G30</f>
        <v>1.2867000000042026</v>
      </c>
      <c r="O30">
        <f t="shared" ca="1" si="2"/>
        <v>1.307664719959809</v>
      </c>
      <c r="Q30" s="2">
        <f t="shared" si="3"/>
        <v>40840.207699999999</v>
      </c>
    </row>
    <row r="31" spans="1:17" x14ac:dyDescent="0.2">
      <c r="A31" s="43" t="s">
        <v>48</v>
      </c>
      <c r="B31" s="44" t="s">
        <v>43</v>
      </c>
      <c r="C31" s="45">
        <v>56046.536310000003</v>
      </c>
      <c r="D31" s="45">
        <v>1E-4</v>
      </c>
      <c r="E31">
        <f t="shared" si="0"/>
        <v>10704.460474212532</v>
      </c>
      <c r="F31" s="30">
        <f>ROUND(2*E31,0)/2-0.5</f>
        <v>10704</v>
      </c>
      <c r="G31">
        <f t="shared" si="4"/>
        <v>1.3303100000121049</v>
      </c>
      <c r="J31">
        <f>+G31</f>
        <v>1.3303100000121049</v>
      </c>
      <c r="O31">
        <f t="shared" ca="1" si="2"/>
        <v>1.3526918193165889</v>
      </c>
      <c r="Q31" s="2">
        <f t="shared" si="3"/>
        <v>41028.036310000003</v>
      </c>
    </row>
    <row r="32" spans="1:17" x14ac:dyDescent="0.2">
      <c r="A32" s="41"/>
      <c r="B32" s="41"/>
      <c r="C32" s="41"/>
      <c r="D32" s="42"/>
      <c r="Q32" s="2"/>
    </row>
    <row r="33" spans="4:17" x14ac:dyDescent="0.2">
      <c r="D33" s="5"/>
      <c r="Q33" s="2"/>
    </row>
    <row r="34" spans="4:17" x14ac:dyDescent="0.2">
      <c r="D34" s="5"/>
    </row>
    <row r="35" spans="4:17" x14ac:dyDescent="0.2">
      <c r="D35" s="5"/>
    </row>
    <row r="36" spans="4:17" x14ac:dyDescent="0.2">
      <c r="D36" s="5"/>
    </row>
    <row r="37" spans="4:17" x14ac:dyDescent="0.2">
      <c r="D37" s="5"/>
    </row>
    <row r="38" spans="4:17" x14ac:dyDescent="0.2">
      <c r="D38" s="5"/>
    </row>
    <row r="39" spans="4:17" x14ac:dyDescent="0.2">
      <c r="D39" s="5"/>
    </row>
    <row r="40" spans="4:17" x14ac:dyDescent="0.2">
      <c r="D40" s="5"/>
    </row>
    <row r="41" spans="4:17" x14ac:dyDescent="0.2">
      <c r="D41" s="5"/>
    </row>
    <row r="42" spans="4:17" x14ac:dyDescent="0.2">
      <c r="D42" s="5"/>
    </row>
    <row r="43" spans="4:17" x14ac:dyDescent="0.2">
      <c r="D43" s="5"/>
    </row>
    <row r="44" spans="4:17" x14ac:dyDescent="0.2">
      <c r="D44" s="5"/>
    </row>
    <row r="45" spans="4:17" x14ac:dyDescent="0.2">
      <c r="D45" s="5"/>
    </row>
    <row r="46" spans="4:17" x14ac:dyDescent="0.2">
      <c r="D46" s="5"/>
    </row>
    <row r="47" spans="4:17" x14ac:dyDescent="0.2">
      <c r="D47" s="5"/>
    </row>
    <row r="48" spans="4:17" x14ac:dyDescent="0.2">
      <c r="D48" s="5"/>
    </row>
    <row r="49" spans="4:4" x14ac:dyDescent="0.2">
      <c r="D49" s="5"/>
    </row>
    <row r="50" spans="4:4" x14ac:dyDescent="0.2">
      <c r="D50" s="5"/>
    </row>
    <row r="51" spans="4:4" x14ac:dyDescent="0.2">
      <c r="D51" s="5"/>
    </row>
    <row r="52" spans="4:4" x14ac:dyDescent="0.2">
      <c r="D52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8"/>
  <sheetViews>
    <sheetView workbookViewId="0">
      <selection activeCell="A20" sqref="A20:C20"/>
    </sheetView>
  </sheetViews>
  <sheetFormatPr defaultRowHeight="12.75" x14ac:dyDescent="0.2"/>
  <cols>
    <col min="1" max="1" width="19.7109375" style="29" customWidth="1"/>
    <col min="2" max="2" width="4.42578125" style="10" customWidth="1"/>
    <col min="3" max="3" width="12.7109375" style="29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29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6" t="s">
        <v>50</v>
      </c>
      <c r="I1" s="47" t="s">
        <v>51</v>
      </c>
      <c r="J1" s="48" t="s">
        <v>44</v>
      </c>
    </row>
    <row r="2" spans="1:16" x14ac:dyDescent="0.2">
      <c r="I2" s="49" t="s">
        <v>28</v>
      </c>
      <c r="J2" s="50" t="s">
        <v>52</v>
      </c>
    </row>
    <row r="3" spans="1:16" x14ac:dyDescent="0.2">
      <c r="A3" s="51" t="s">
        <v>53</v>
      </c>
      <c r="I3" s="49" t="s">
        <v>54</v>
      </c>
      <c r="J3" s="50" t="s">
        <v>55</v>
      </c>
    </row>
    <row r="4" spans="1:16" x14ac:dyDescent="0.2">
      <c r="I4" s="49" t="s">
        <v>56</v>
      </c>
      <c r="J4" s="50" t="s">
        <v>55</v>
      </c>
    </row>
    <row r="5" spans="1:16" ht="13.5" thickBot="1" x14ac:dyDescent="0.25">
      <c r="I5" s="52" t="s">
        <v>57</v>
      </c>
      <c r="J5" s="53" t="s">
        <v>58</v>
      </c>
    </row>
    <row r="10" spans="1:16" ht="13.5" thickBot="1" x14ac:dyDescent="0.25"/>
    <row r="11" spans="1:16" ht="12.75" customHeight="1" thickBot="1" x14ac:dyDescent="0.25">
      <c r="A11" s="29" t="str">
        <f t="shared" ref="A11:A20" si="0">P11</f>
        <v>BAVM 152 </v>
      </c>
      <c r="B11" s="5" t="str">
        <f t="shared" ref="B11:B20" si="1">IF(H11=INT(H11),"I","II")</f>
        <v>I</v>
      </c>
      <c r="C11" s="29">
        <f t="shared" ref="C11:C20" si="2">1*G11</f>
        <v>50677.398800000003</v>
      </c>
      <c r="D11" s="10" t="str">
        <f t="shared" ref="D11:D20" si="3">VLOOKUP(F11,I$1:J$5,2,FALSE)</f>
        <v>vis</v>
      </c>
      <c r="E11" s="54">
        <f>VLOOKUP(C11,Active!C$21:E$973,3,FALSE)</f>
        <v>8845.9843544479081</v>
      </c>
      <c r="F11" s="5" t="s">
        <v>57</v>
      </c>
      <c r="G11" s="10" t="str">
        <f t="shared" ref="G11:G20" si="4">MID(I11,3,LEN(I11)-3)</f>
        <v>50677.3988</v>
      </c>
      <c r="H11" s="29">
        <f t="shared" ref="H11:H20" si="5">1*K11</f>
        <v>8846</v>
      </c>
      <c r="I11" s="55" t="s">
        <v>59</v>
      </c>
      <c r="J11" s="56" t="s">
        <v>60</v>
      </c>
      <c r="K11" s="55">
        <v>8846</v>
      </c>
      <c r="L11" s="55" t="s">
        <v>61</v>
      </c>
      <c r="M11" s="56" t="s">
        <v>62</v>
      </c>
      <c r="N11" s="56" t="s">
        <v>63</v>
      </c>
      <c r="O11" s="57" t="s">
        <v>64</v>
      </c>
      <c r="P11" s="58" t="s">
        <v>65</v>
      </c>
    </row>
    <row r="12" spans="1:16" ht="12.75" customHeight="1" thickBot="1" x14ac:dyDescent="0.25">
      <c r="A12" s="29" t="str">
        <f t="shared" si="0"/>
        <v>OEJV 0074 </v>
      </c>
      <c r="B12" s="5" t="str">
        <f t="shared" si="1"/>
        <v>I</v>
      </c>
      <c r="C12" s="29">
        <f t="shared" si="2"/>
        <v>52119.498699999996</v>
      </c>
      <c r="D12" s="10" t="str">
        <f t="shared" si="3"/>
        <v>vis</v>
      </c>
      <c r="E12" s="54">
        <f>VLOOKUP(C12,Active!C$21:E$973,3,FALSE)</f>
        <v>9345.1535825545179</v>
      </c>
      <c r="F12" s="5" t="s">
        <v>57</v>
      </c>
      <c r="G12" s="10" t="str">
        <f t="shared" si="4"/>
        <v>52119.49870</v>
      </c>
      <c r="H12" s="29">
        <f t="shared" si="5"/>
        <v>9345</v>
      </c>
      <c r="I12" s="55" t="s">
        <v>66</v>
      </c>
      <c r="J12" s="56" t="s">
        <v>67</v>
      </c>
      <c r="K12" s="55">
        <v>9345</v>
      </c>
      <c r="L12" s="55" t="s">
        <v>68</v>
      </c>
      <c r="M12" s="56" t="s">
        <v>69</v>
      </c>
      <c r="N12" s="56" t="s">
        <v>63</v>
      </c>
      <c r="O12" s="57" t="s">
        <v>70</v>
      </c>
      <c r="P12" s="58" t="s">
        <v>71</v>
      </c>
    </row>
    <row r="13" spans="1:16" ht="12.75" customHeight="1" thickBot="1" x14ac:dyDescent="0.25">
      <c r="A13" s="29" t="str">
        <f t="shared" si="0"/>
        <v>BAVM 158 </v>
      </c>
      <c r="B13" s="5" t="str">
        <f t="shared" si="1"/>
        <v>I</v>
      </c>
      <c r="C13" s="29">
        <f t="shared" si="2"/>
        <v>52197.527099999999</v>
      </c>
      <c r="D13" s="10" t="str">
        <f t="shared" si="3"/>
        <v>vis</v>
      </c>
      <c r="E13" s="54">
        <f>VLOOKUP(C13,Active!C$21:E$973,3,FALSE)</f>
        <v>9372.1623745240577</v>
      </c>
      <c r="F13" s="5" t="s">
        <v>57</v>
      </c>
      <c r="G13" s="10" t="str">
        <f t="shared" si="4"/>
        <v>52197.5271</v>
      </c>
      <c r="H13" s="29">
        <f t="shared" si="5"/>
        <v>9372</v>
      </c>
      <c r="I13" s="55" t="s">
        <v>72</v>
      </c>
      <c r="J13" s="56" t="s">
        <v>73</v>
      </c>
      <c r="K13" s="55">
        <v>9372</v>
      </c>
      <c r="L13" s="55" t="s">
        <v>74</v>
      </c>
      <c r="M13" s="56" t="s">
        <v>62</v>
      </c>
      <c r="N13" s="56" t="s">
        <v>75</v>
      </c>
      <c r="O13" s="57" t="s">
        <v>64</v>
      </c>
      <c r="P13" s="58" t="s">
        <v>76</v>
      </c>
    </row>
    <row r="14" spans="1:16" ht="12.75" customHeight="1" thickBot="1" x14ac:dyDescent="0.25">
      <c r="A14" s="29" t="str">
        <f t="shared" si="0"/>
        <v>BAVM 158 </v>
      </c>
      <c r="B14" s="5" t="str">
        <f t="shared" si="1"/>
        <v>I</v>
      </c>
      <c r="C14" s="29">
        <f t="shared" si="2"/>
        <v>52483.602299999999</v>
      </c>
      <c r="D14" s="10" t="str">
        <f t="shared" si="3"/>
        <v>vis</v>
      </c>
      <c r="E14" s="54">
        <f>VLOOKUP(C14,Active!C$21:E$973,3,FALSE)</f>
        <v>9471.1845967462796</v>
      </c>
      <c r="F14" s="5" t="s">
        <v>57</v>
      </c>
      <c r="G14" s="10" t="str">
        <f t="shared" si="4"/>
        <v>52483.6023</v>
      </c>
      <c r="H14" s="29">
        <f t="shared" si="5"/>
        <v>9471</v>
      </c>
      <c r="I14" s="55" t="s">
        <v>77</v>
      </c>
      <c r="J14" s="56" t="s">
        <v>78</v>
      </c>
      <c r="K14" s="55" t="s">
        <v>79</v>
      </c>
      <c r="L14" s="55" t="s">
        <v>80</v>
      </c>
      <c r="M14" s="56" t="s">
        <v>62</v>
      </c>
      <c r="N14" s="56" t="s">
        <v>75</v>
      </c>
      <c r="O14" s="57" t="s">
        <v>64</v>
      </c>
      <c r="P14" s="58" t="s">
        <v>76</v>
      </c>
    </row>
    <row r="15" spans="1:16" ht="12.75" customHeight="1" thickBot="1" x14ac:dyDescent="0.25">
      <c r="A15" s="29" t="str">
        <f t="shared" si="0"/>
        <v>BAVM 158 </v>
      </c>
      <c r="B15" s="5" t="str">
        <f t="shared" si="1"/>
        <v>I</v>
      </c>
      <c r="C15" s="29">
        <f t="shared" si="2"/>
        <v>52486.489500000003</v>
      </c>
      <c r="D15" s="10" t="str">
        <f t="shared" si="3"/>
        <v>vis</v>
      </c>
      <c r="E15" s="54">
        <f>VLOOKUP(C15,Active!C$21:E$973,3,FALSE)</f>
        <v>9472.1839736933216</v>
      </c>
      <c r="F15" s="5" t="s">
        <v>57</v>
      </c>
      <c r="G15" s="10" t="str">
        <f t="shared" si="4"/>
        <v>52486.4895</v>
      </c>
      <c r="H15" s="29">
        <f t="shared" si="5"/>
        <v>9472</v>
      </c>
      <c r="I15" s="55" t="s">
        <v>81</v>
      </c>
      <c r="J15" s="56" t="s">
        <v>82</v>
      </c>
      <c r="K15" s="55" t="s">
        <v>83</v>
      </c>
      <c r="L15" s="55" t="s">
        <v>84</v>
      </c>
      <c r="M15" s="56" t="s">
        <v>62</v>
      </c>
      <c r="N15" s="56" t="s">
        <v>75</v>
      </c>
      <c r="O15" s="57" t="s">
        <v>64</v>
      </c>
      <c r="P15" s="58" t="s">
        <v>76</v>
      </c>
    </row>
    <row r="16" spans="1:16" ht="12.75" customHeight="1" thickBot="1" x14ac:dyDescent="0.25">
      <c r="A16" s="29" t="str">
        <f t="shared" si="0"/>
        <v>BAVM 173 </v>
      </c>
      <c r="B16" s="5" t="str">
        <f t="shared" si="1"/>
        <v>II</v>
      </c>
      <c r="C16" s="29">
        <f t="shared" si="2"/>
        <v>53256.582999999999</v>
      </c>
      <c r="D16" s="10" t="str">
        <f t="shared" si="3"/>
        <v>vis</v>
      </c>
      <c r="E16" s="54">
        <f>VLOOKUP(C16,Active!C$21:E$973,3,FALSE)</f>
        <v>9738.744548286606</v>
      </c>
      <c r="F16" s="5" t="s">
        <v>57</v>
      </c>
      <c r="G16" s="10" t="str">
        <f t="shared" si="4"/>
        <v>53256.5830</v>
      </c>
      <c r="H16" s="29">
        <f t="shared" si="5"/>
        <v>9738.5</v>
      </c>
      <c r="I16" s="55" t="s">
        <v>85</v>
      </c>
      <c r="J16" s="56" t="s">
        <v>86</v>
      </c>
      <c r="K16" s="55" t="s">
        <v>87</v>
      </c>
      <c r="L16" s="55" t="s">
        <v>88</v>
      </c>
      <c r="M16" s="56" t="s">
        <v>62</v>
      </c>
      <c r="N16" s="56" t="s">
        <v>75</v>
      </c>
      <c r="O16" s="57" t="s">
        <v>89</v>
      </c>
      <c r="P16" s="58" t="s">
        <v>90</v>
      </c>
    </row>
    <row r="17" spans="1:16" ht="12.75" customHeight="1" thickBot="1" x14ac:dyDescent="0.25">
      <c r="A17" s="29" t="str">
        <f t="shared" si="0"/>
        <v>BAVM 178 </v>
      </c>
      <c r="B17" s="5" t="str">
        <f t="shared" si="1"/>
        <v>I</v>
      </c>
      <c r="C17" s="29">
        <f t="shared" si="2"/>
        <v>53928.425000000003</v>
      </c>
      <c r="D17" s="10" t="str">
        <f t="shared" si="3"/>
        <v>vis</v>
      </c>
      <c r="E17" s="54">
        <f>VLOOKUP(C17,Active!C$21:E$973,3,FALSE)</f>
        <v>9971.2962962962993</v>
      </c>
      <c r="F17" s="5" t="s">
        <v>57</v>
      </c>
      <c r="G17" s="10" t="str">
        <f t="shared" si="4"/>
        <v>53928.4250</v>
      </c>
      <c r="H17" s="29">
        <f t="shared" si="5"/>
        <v>9971</v>
      </c>
      <c r="I17" s="55" t="s">
        <v>91</v>
      </c>
      <c r="J17" s="56" t="s">
        <v>92</v>
      </c>
      <c r="K17" s="55" t="s">
        <v>93</v>
      </c>
      <c r="L17" s="55" t="s">
        <v>94</v>
      </c>
      <c r="M17" s="56" t="s">
        <v>69</v>
      </c>
      <c r="N17" s="56" t="s">
        <v>75</v>
      </c>
      <c r="O17" s="57" t="s">
        <v>95</v>
      </c>
      <c r="P17" s="58" t="s">
        <v>96</v>
      </c>
    </row>
    <row r="18" spans="1:16" ht="12.75" customHeight="1" thickBot="1" x14ac:dyDescent="0.25">
      <c r="A18" s="29" t="str">
        <f t="shared" si="0"/>
        <v>IBVS 6011 </v>
      </c>
      <c r="B18" s="5" t="str">
        <f t="shared" si="1"/>
        <v>I</v>
      </c>
      <c r="C18" s="29">
        <f t="shared" si="2"/>
        <v>55858.707699999999</v>
      </c>
      <c r="D18" s="10" t="str">
        <f t="shared" si="3"/>
        <v>vis</v>
      </c>
      <c r="E18" s="54">
        <f>VLOOKUP(C18,Active!C$21:E$973,3,FALSE)</f>
        <v>10639.445379023884</v>
      </c>
      <c r="F18" s="5" t="s">
        <v>57</v>
      </c>
      <c r="G18" s="10" t="str">
        <f t="shared" si="4"/>
        <v>55858.7077</v>
      </c>
      <c r="H18" s="29">
        <f t="shared" si="5"/>
        <v>10639</v>
      </c>
      <c r="I18" s="55" t="s">
        <v>102</v>
      </c>
      <c r="J18" s="56" t="s">
        <v>103</v>
      </c>
      <c r="K18" s="55" t="s">
        <v>104</v>
      </c>
      <c r="L18" s="55" t="s">
        <v>105</v>
      </c>
      <c r="M18" s="56" t="s">
        <v>69</v>
      </c>
      <c r="N18" s="56" t="s">
        <v>57</v>
      </c>
      <c r="O18" s="57" t="s">
        <v>106</v>
      </c>
      <c r="P18" s="58" t="s">
        <v>107</v>
      </c>
    </row>
    <row r="19" spans="1:16" ht="12.75" customHeight="1" thickBot="1" x14ac:dyDescent="0.25">
      <c r="A19" s="29" t="str">
        <f t="shared" si="0"/>
        <v>OEJV 0160 </v>
      </c>
      <c r="B19" s="5" t="str">
        <f t="shared" si="1"/>
        <v>I</v>
      </c>
      <c r="C19" s="29">
        <f t="shared" si="2"/>
        <v>56046.536310000003</v>
      </c>
      <c r="D19" s="10" t="str">
        <f t="shared" si="3"/>
        <v>vis</v>
      </c>
      <c r="E19" s="54">
        <f>VLOOKUP(C19,Active!C$21:E$973,3,FALSE)</f>
        <v>10704.460474212532</v>
      </c>
      <c r="F19" s="5" t="s">
        <v>57</v>
      </c>
      <c r="G19" s="10" t="str">
        <f t="shared" si="4"/>
        <v>56046.53631</v>
      </c>
      <c r="H19" s="29">
        <f t="shared" si="5"/>
        <v>10704</v>
      </c>
      <c r="I19" s="55" t="s">
        <v>108</v>
      </c>
      <c r="J19" s="56" t="s">
        <v>109</v>
      </c>
      <c r="K19" s="55" t="s">
        <v>110</v>
      </c>
      <c r="L19" s="55" t="s">
        <v>111</v>
      </c>
      <c r="M19" s="56" t="s">
        <v>69</v>
      </c>
      <c r="N19" s="56" t="s">
        <v>51</v>
      </c>
      <c r="O19" s="57" t="s">
        <v>112</v>
      </c>
      <c r="P19" s="58" t="s">
        <v>113</v>
      </c>
    </row>
    <row r="20" spans="1:16" ht="12.75" customHeight="1" thickBot="1" x14ac:dyDescent="0.25">
      <c r="A20" s="29" t="str">
        <f t="shared" si="0"/>
        <v>BAVM 225 </v>
      </c>
      <c r="B20" s="5" t="str">
        <f t="shared" si="1"/>
        <v>I</v>
      </c>
      <c r="C20" s="29">
        <f t="shared" si="2"/>
        <v>55815.3652</v>
      </c>
      <c r="D20" s="10" t="str">
        <f t="shared" si="3"/>
        <v>vis</v>
      </c>
      <c r="E20" s="54">
        <f>VLOOKUP(C20,Active!C$21:E$973,3,FALSE)</f>
        <v>10624.442782969887</v>
      </c>
      <c r="F20" s="5" t="s">
        <v>57</v>
      </c>
      <c r="G20" s="10" t="str">
        <f t="shared" si="4"/>
        <v>55815.3652</v>
      </c>
      <c r="H20" s="29">
        <f t="shared" si="5"/>
        <v>10624</v>
      </c>
      <c r="I20" s="55" t="s">
        <v>97</v>
      </c>
      <c r="J20" s="56" t="s">
        <v>98</v>
      </c>
      <c r="K20" s="55" t="s">
        <v>99</v>
      </c>
      <c r="L20" s="55" t="s">
        <v>100</v>
      </c>
      <c r="M20" s="56" t="s">
        <v>69</v>
      </c>
      <c r="N20" s="56" t="s">
        <v>75</v>
      </c>
      <c r="O20" s="57" t="s">
        <v>89</v>
      </c>
      <c r="P20" s="58" t="s">
        <v>101</v>
      </c>
    </row>
    <row r="21" spans="1:16" x14ac:dyDescent="0.2">
      <c r="B21" s="5"/>
      <c r="E21" s="54"/>
      <c r="F21" s="5"/>
    </row>
    <row r="22" spans="1:16" x14ac:dyDescent="0.2">
      <c r="B22" s="5"/>
      <c r="E22" s="54"/>
      <c r="F22" s="5"/>
    </row>
    <row r="23" spans="1:16" x14ac:dyDescent="0.2">
      <c r="B23" s="5"/>
      <c r="E23" s="54"/>
      <c r="F23" s="5"/>
    </row>
    <row r="24" spans="1:16" x14ac:dyDescent="0.2">
      <c r="B24" s="5"/>
      <c r="E24" s="54"/>
      <c r="F24" s="5"/>
    </row>
    <row r="25" spans="1:16" x14ac:dyDescent="0.2">
      <c r="B25" s="5"/>
      <c r="E25" s="54"/>
      <c r="F25" s="5"/>
    </row>
    <row r="26" spans="1:16" x14ac:dyDescent="0.2">
      <c r="B26" s="5"/>
      <c r="E26" s="54"/>
      <c r="F26" s="5"/>
    </row>
    <row r="27" spans="1:16" x14ac:dyDescent="0.2">
      <c r="B27" s="5"/>
      <c r="E27" s="54"/>
      <c r="F27" s="5"/>
    </row>
    <row r="28" spans="1:16" x14ac:dyDescent="0.2">
      <c r="B28" s="5"/>
      <c r="E28" s="54"/>
      <c r="F28" s="5"/>
    </row>
    <row r="29" spans="1:16" x14ac:dyDescent="0.2">
      <c r="B29" s="5"/>
      <c r="E29" s="54"/>
      <c r="F29" s="5"/>
    </row>
    <row r="30" spans="1:16" x14ac:dyDescent="0.2">
      <c r="B30" s="5"/>
      <c r="E30" s="54"/>
      <c r="F30" s="5"/>
    </row>
    <row r="31" spans="1:16" x14ac:dyDescent="0.2">
      <c r="B31" s="5"/>
      <c r="F31" s="5"/>
    </row>
    <row r="32" spans="1:1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</sheetData>
  <phoneticPr fontId="7" type="noConversion"/>
  <hyperlinks>
    <hyperlink ref="P11" r:id="rId1" display="http://www.bav-astro.de/sfs/BAVM_link.php?BAVMnr=152"/>
    <hyperlink ref="P12" r:id="rId2" display="http://var.astro.cz/oejv/issues/oejv0074.pdf"/>
    <hyperlink ref="P13" r:id="rId3" display="http://www.bav-astro.de/sfs/BAVM_link.php?BAVMnr=158"/>
    <hyperlink ref="P14" r:id="rId4" display="http://www.bav-astro.de/sfs/BAVM_link.php?BAVMnr=158"/>
    <hyperlink ref="P15" r:id="rId5" display="http://www.bav-astro.de/sfs/BAVM_link.php?BAVMnr=158"/>
    <hyperlink ref="P16" r:id="rId6" display="http://www.bav-astro.de/sfs/BAVM_link.php?BAVMnr=173"/>
    <hyperlink ref="P17" r:id="rId7" display="http://www.bav-astro.de/sfs/BAVM_link.php?BAVMnr=178"/>
    <hyperlink ref="P20" r:id="rId8" display="http://www.bav-astro.de/sfs/BAVM_link.php?BAVMnr=225"/>
    <hyperlink ref="P18" r:id="rId9" display="http://www.konkoly.hu/cgi-bin/IBVS?6011"/>
    <hyperlink ref="P19" r:id="rId10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2024-02-17T04:56:01Z</dcterms:modified>
</cp:coreProperties>
</file>