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B12B572-7E5C-4465-9270-23A25B5737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36" i="2" l="1"/>
  <c r="F36" i="2" s="1"/>
  <c r="G36" i="2" s="1"/>
  <c r="K36" i="2" s="1"/>
  <c r="Q36" i="2"/>
  <c r="C36" i="2"/>
  <c r="C17" i="2" s="1"/>
  <c r="A36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G74" i="2"/>
  <c r="K74" i="2" s="1"/>
  <c r="Q74" i="2"/>
  <c r="Q75" i="2"/>
  <c r="Q76" i="2"/>
  <c r="E76" i="2"/>
  <c r="F76" i="2" s="1"/>
  <c r="G76" i="2" s="1"/>
  <c r="K76" i="2" s="1"/>
  <c r="E73" i="2"/>
  <c r="F73" i="2" s="1"/>
  <c r="G73" i="2" s="1"/>
  <c r="K73" i="2" s="1"/>
  <c r="E75" i="2"/>
  <c r="F75" i="2" s="1"/>
  <c r="G75" i="2" s="1"/>
  <c r="K75" i="2" s="1"/>
  <c r="E74" i="2"/>
  <c r="F74" i="2" s="1"/>
  <c r="E44" i="2"/>
  <c r="E18" i="3" s="1"/>
  <c r="E45" i="2"/>
  <c r="E19" i="3" s="1"/>
  <c r="E46" i="2"/>
  <c r="F46" i="2" s="1"/>
  <c r="G46" i="2" s="1"/>
  <c r="I46" i="2" s="1"/>
  <c r="E47" i="2"/>
  <c r="F47" i="2" s="1"/>
  <c r="G47" i="2" s="1"/>
  <c r="I47" i="2" s="1"/>
  <c r="E48" i="2"/>
  <c r="F48" i="2" s="1"/>
  <c r="G48" i="2" s="1"/>
  <c r="I48" i="2" s="1"/>
  <c r="E49" i="2"/>
  <c r="E23" i="3" s="1"/>
  <c r="E50" i="2"/>
  <c r="E24" i="3" s="1"/>
  <c r="E53" i="2"/>
  <c r="F53" i="2" s="1"/>
  <c r="G53" i="2" s="1"/>
  <c r="I53" i="2" s="1"/>
  <c r="E54" i="2"/>
  <c r="E26" i="3" s="1"/>
  <c r="E55" i="2"/>
  <c r="E27" i="3" s="1"/>
  <c r="E56" i="2"/>
  <c r="E28" i="3" s="1"/>
  <c r="F56" i="2"/>
  <c r="G56" i="2" s="1"/>
  <c r="I56" i="2" s="1"/>
  <c r="E59" i="2"/>
  <c r="E29" i="3" s="1"/>
  <c r="E60" i="2"/>
  <c r="F60" i="2" s="1"/>
  <c r="G60" i="2" s="1"/>
  <c r="I60" i="2" s="1"/>
  <c r="E61" i="2"/>
  <c r="E31" i="3" s="1"/>
  <c r="F61" i="2"/>
  <c r="G61" i="2" s="1"/>
  <c r="I61" i="2" s="1"/>
  <c r="E64" i="2"/>
  <c r="F64" i="2" s="1"/>
  <c r="G64" i="2" s="1"/>
  <c r="I64" i="2" s="1"/>
  <c r="E66" i="2"/>
  <c r="E33" i="3" s="1"/>
  <c r="E21" i="2"/>
  <c r="F21" i="2" s="1"/>
  <c r="G21" i="2" s="1"/>
  <c r="H21" i="2" s="1"/>
  <c r="E22" i="2"/>
  <c r="F22" i="2" s="1"/>
  <c r="G22" i="2" s="1"/>
  <c r="N22" i="2" s="1"/>
  <c r="E23" i="2"/>
  <c r="F23" i="2" s="1"/>
  <c r="G23" i="2" s="1"/>
  <c r="I23" i="2" s="1"/>
  <c r="E24" i="2"/>
  <c r="F24" i="2" s="1"/>
  <c r="G24" i="2" s="1"/>
  <c r="I24" i="2" s="1"/>
  <c r="E25" i="2"/>
  <c r="F25" i="2" s="1"/>
  <c r="G25" i="2" s="1"/>
  <c r="I25" i="2" s="1"/>
  <c r="E26" i="2"/>
  <c r="F26" i="2" s="1"/>
  <c r="G26" i="2" s="1"/>
  <c r="I26" i="2" s="1"/>
  <c r="E27" i="2"/>
  <c r="F27" i="2" s="1"/>
  <c r="G27" i="2" s="1"/>
  <c r="I27" i="2" s="1"/>
  <c r="E28" i="2"/>
  <c r="F28" i="2" s="1"/>
  <c r="G28" i="2" s="1"/>
  <c r="I28" i="2" s="1"/>
  <c r="E29" i="2"/>
  <c r="F29" i="2" s="1"/>
  <c r="G29" i="2" s="1"/>
  <c r="N29" i="2" s="1"/>
  <c r="E30" i="2"/>
  <c r="F30" i="2"/>
  <c r="G30" i="2" s="1"/>
  <c r="I30" i="2" s="1"/>
  <c r="E31" i="2"/>
  <c r="F31" i="2" s="1"/>
  <c r="G31" i="2" s="1"/>
  <c r="I31" i="2" s="1"/>
  <c r="E32" i="2"/>
  <c r="F32" i="2"/>
  <c r="G32" i="2" s="1"/>
  <c r="J32" i="2" s="1"/>
  <c r="E33" i="2"/>
  <c r="F33" i="2" s="1"/>
  <c r="G33" i="2" s="1"/>
  <c r="J33" i="2" s="1"/>
  <c r="E34" i="2"/>
  <c r="F34" i="2" s="1"/>
  <c r="G34" i="2" s="1"/>
  <c r="J34" i="2" s="1"/>
  <c r="E35" i="2"/>
  <c r="F35" i="2" s="1"/>
  <c r="G35" i="2" s="1"/>
  <c r="I35" i="2" s="1"/>
  <c r="E37" i="2"/>
  <c r="F37" i="2"/>
  <c r="G37" i="2" s="1"/>
  <c r="I37" i="2" s="1"/>
  <c r="E38" i="2"/>
  <c r="F38" i="2" s="1"/>
  <c r="G38" i="2" s="1"/>
  <c r="I38" i="2" s="1"/>
  <c r="E39" i="2"/>
  <c r="F39" i="2" s="1"/>
  <c r="G39" i="2" s="1"/>
  <c r="E40" i="2"/>
  <c r="F40" i="2" s="1"/>
  <c r="G40" i="2" s="1"/>
  <c r="K40" i="2" s="1"/>
  <c r="E41" i="2"/>
  <c r="F41" i="2" s="1"/>
  <c r="G41" i="2" s="1"/>
  <c r="K41" i="2" s="1"/>
  <c r="E42" i="2"/>
  <c r="F42" i="2"/>
  <c r="G42" i="2" s="1"/>
  <c r="K42" i="2" s="1"/>
  <c r="E43" i="2"/>
  <c r="F43" i="2" s="1"/>
  <c r="G43" i="2" s="1"/>
  <c r="K43" i="2" s="1"/>
  <c r="E51" i="2"/>
  <c r="F51" i="2" s="1"/>
  <c r="G51" i="2" s="1"/>
  <c r="N51" i="2" s="1"/>
  <c r="E52" i="2"/>
  <c r="F52" i="2"/>
  <c r="G52" i="2" s="1"/>
  <c r="N52" i="2" s="1"/>
  <c r="E57" i="2"/>
  <c r="F57" i="2" s="1"/>
  <c r="G57" i="2" s="1"/>
  <c r="K57" i="2" s="1"/>
  <c r="E58" i="2"/>
  <c r="F58" i="2" s="1"/>
  <c r="G58" i="2" s="1"/>
  <c r="K58" i="2" s="1"/>
  <c r="E62" i="2"/>
  <c r="F62" i="2" s="1"/>
  <c r="G62" i="2" s="1"/>
  <c r="K62" i="2" s="1"/>
  <c r="E72" i="2"/>
  <c r="F72" i="2" s="1"/>
  <c r="G72" i="2" s="1"/>
  <c r="K72" i="2" s="1"/>
  <c r="E63" i="2"/>
  <c r="F63" i="2" s="1"/>
  <c r="G63" i="2" s="1"/>
  <c r="K63" i="2" s="1"/>
  <c r="E65" i="2"/>
  <c r="F65" i="2" s="1"/>
  <c r="G65" i="2" s="1"/>
  <c r="K65" i="2" s="1"/>
  <c r="E67" i="2"/>
  <c r="F67" i="2" s="1"/>
  <c r="G67" i="2" s="1"/>
  <c r="K67" i="2" s="1"/>
  <c r="E68" i="2"/>
  <c r="F68" i="2" s="1"/>
  <c r="G68" i="2" s="1"/>
  <c r="K68" i="2" s="1"/>
  <c r="E69" i="2"/>
  <c r="E14" i="3" s="1"/>
  <c r="E70" i="2"/>
  <c r="E15" i="3" s="1"/>
  <c r="E71" i="2"/>
  <c r="E16" i="3" s="1"/>
  <c r="D9" i="2"/>
  <c r="C9" i="2"/>
  <c r="Q44" i="2"/>
  <c r="Q45" i="2"/>
  <c r="Q46" i="2"/>
  <c r="Q47" i="2"/>
  <c r="Q48" i="2"/>
  <c r="Q49" i="2"/>
  <c r="Q50" i="2"/>
  <c r="Q53" i="2"/>
  <c r="Q54" i="2"/>
  <c r="Q55" i="2"/>
  <c r="Q56" i="2"/>
  <c r="G17" i="3"/>
  <c r="C17" i="3"/>
  <c r="E17" i="3"/>
  <c r="G16" i="3"/>
  <c r="C16" i="3"/>
  <c r="G15" i="3"/>
  <c r="C15" i="3"/>
  <c r="G14" i="3"/>
  <c r="C14" i="3"/>
  <c r="G13" i="3"/>
  <c r="C13" i="3"/>
  <c r="G33" i="3"/>
  <c r="C33" i="3"/>
  <c r="G32" i="3"/>
  <c r="C32" i="3"/>
  <c r="G12" i="3"/>
  <c r="C12" i="3"/>
  <c r="G11" i="3"/>
  <c r="C11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E21" i="3"/>
  <c r="G20" i="3"/>
  <c r="C20" i="3"/>
  <c r="G19" i="3"/>
  <c r="C19" i="3"/>
  <c r="G18" i="3"/>
  <c r="C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33" i="3"/>
  <c r="B33" i="3"/>
  <c r="D33" i="3"/>
  <c r="A33" i="3"/>
  <c r="H32" i="3"/>
  <c r="B32" i="3"/>
  <c r="D32" i="3"/>
  <c r="A32" i="3"/>
  <c r="H12" i="3"/>
  <c r="B12" i="3"/>
  <c r="D12" i="3"/>
  <c r="A12" i="3"/>
  <c r="H11" i="3"/>
  <c r="B11" i="3"/>
  <c r="D11" i="3"/>
  <c r="A11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F16" i="2"/>
  <c r="F17" i="2" s="1"/>
  <c r="E22" i="1"/>
  <c r="F22" i="1"/>
  <c r="G22" i="1"/>
  <c r="I22" i="1"/>
  <c r="E23" i="1"/>
  <c r="F23" i="1"/>
  <c r="G23" i="1"/>
  <c r="I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J33" i="1"/>
  <c r="E34" i="1"/>
  <c r="F34" i="1"/>
  <c r="G34" i="1"/>
  <c r="J34" i="1"/>
  <c r="E35" i="1"/>
  <c r="F35" i="1"/>
  <c r="G35" i="1"/>
  <c r="K35" i="1"/>
  <c r="E21" i="1"/>
  <c r="F21" i="1"/>
  <c r="G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E15" i="1"/>
  <c r="E16" i="1" s="1"/>
  <c r="E17" i="1" s="1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7" i="2"/>
  <c r="Q38" i="2"/>
  <c r="Q40" i="2"/>
  <c r="Q42" i="2"/>
  <c r="Q51" i="2"/>
  <c r="Q39" i="2"/>
  <c r="Q41" i="2"/>
  <c r="Q43" i="2"/>
  <c r="Q52" i="2"/>
  <c r="Q57" i="2"/>
  <c r="C17" i="1"/>
  <c r="Q21" i="1"/>
  <c r="E22" i="3"/>
  <c r="H21" i="1"/>
  <c r="C11" i="1"/>
  <c r="C12" i="1"/>
  <c r="C16" i="1"/>
  <c r="D18" i="1"/>
  <c r="O34" i="1"/>
  <c r="O29" i="1"/>
  <c r="O32" i="1"/>
  <c r="O28" i="1"/>
  <c r="C15" i="1"/>
  <c r="O21" i="1"/>
  <c r="O31" i="1"/>
  <c r="O33" i="1"/>
  <c r="O25" i="1"/>
  <c r="O30" i="1"/>
  <c r="O27" i="1"/>
  <c r="O22" i="1"/>
  <c r="O35" i="1"/>
  <c r="O23" i="1"/>
  <c r="O26" i="1"/>
  <c r="O24" i="1"/>
  <c r="C18" i="1"/>
  <c r="E32" i="3" l="1"/>
  <c r="F71" i="2"/>
  <c r="G71" i="2" s="1"/>
  <c r="K71" i="2" s="1"/>
  <c r="F59" i="2"/>
  <c r="G59" i="2" s="1"/>
  <c r="I59" i="2" s="1"/>
  <c r="F50" i="2"/>
  <c r="G50" i="2" s="1"/>
  <c r="I50" i="2" s="1"/>
  <c r="F44" i="2"/>
  <c r="G44" i="2" s="1"/>
  <c r="I44" i="2" s="1"/>
  <c r="F66" i="2"/>
  <c r="G66" i="2" s="1"/>
  <c r="I66" i="2" s="1"/>
  <c r="E25" i="3"/>
  <c r="F55" i="2"/>
  <c r="G55" i="2" s="1"/>
  <c r="I55" i="2" s="1"/>
  <c r="F45" i="2"/>
  <c r="G45" i="2" s="1"/>
  <c r="I45" i="2" s="1"/>
  <c r="E13" i="3"/>
  <c r="F54" i="2"/>
  <c r="G54" i="2" s="1"/>
  <c r="I54" i="2" s="1"/>
  <c r="E30" i="3"/>
  <c r="E20" i="3"/>
  <c r="E11" i="3"/>
  <c r="F70" i="2"/>
  <c r="G70" i="2" s="1"/>
  <c r="K70" i="2" s="1"/>
  <c r="F49" i="2"/>
  <c r="G49" i="2" s="1"/>
  <c r="I49" i="2" s="1"/>
  <c r="I39" i="2"/>
  <c r="E12" i="3"/>
  <c r="F69" i="2"/>
  <c r="G69" i="2" s="1"/>
  <c r="K69" i="2" s="1"/>
  <c r="C12" i="2"/>
  <c r="C11" i="2"/>
  <c r="O36" i="2" l="1"/>
  <c r="O63" i="2"/>
  <c r="O75" i="2"/>
  <c r="O58" i="2"/>
  <c r="O60" i="2"/>
  <c r="O62" i="2"/>
  <c r="O64" i="2"/>
  <c r="O66" i="2"/>
  <c r="O68" i="2"/>
  <c r="O70" i="2"/>
  <c r="O72" i="2"/>
  <c r="O74" i="2"/>
  <c r="O76" i="2"/>
  <c r="O65" i="2"/>
  <c r="O69" i="2"/>
  <c r="O73" i="2"/>
  <c r="O59" i="2"/>
  <c r="O67" i="2"/>
  <c r="O71" i="2"/>
  <c r="O61" i="2"/>
  <c r="O42" i="2"/>
  <c r="O35" i="2"/>
  <c r="O56" i="2"/>
  <c r="O40" i="2"/>
  <c r="O55" i="2"/>
  <c r="O41" i="2"/>
  <c r="O29" i="2"/>
  <c r="O43" i="2"/>
  <c r="O44" i="2"/>
  <c r="O21" i="2"/>
  <c r="O46" i="2"/>
  <c r="O25" i="2"/>
  <c r="O39" i="2"/>
  <c r="O38" i="2"/>
  <c r="O22" i="2"/>
  <c r="O23" i="2"/>
  <c r="O52" i="2"/>
  <c r="O50" i="2"/>
  <c r="O53" i="2"/>
  <c r="O54" i="2"/>
  <c r="O34" i="2"/>
  <c r="O37" i="2"/>
  <c r="O24" i="2"/>
  <c r="C15" i="2"/>
  <c r="O49" i="2"/>
  <c r="O27" i="2"/>
  <c r="O30" i="2"/>
  <c r="O31" i="2"/>
  <c r="O45" i="2"/>
  <c r="O28" i="2"/>
  <c r="O26" i="2"/>
  <c r="O57" i="2"/>
  <c r="O32" i="2"/>
  <c r="O51" i="2"/>
  <c r="O33" i="2"/>
  <c r="O48" i="2"/>
  <c r="O47" i="2"/>
  <c r="C16" i="2"/>
  <c r="D18" i="2" s="1"/>
  <c r="F18" i="2" l="1"/>
  <c r="F19" i="2" s="1"/>
  <c r="C18" i="2"/>
</calcChain>
</file>

<file path=xl/sharedStrings.xml><?xml version="1.0" encoding="utf-8"?>
<sst xmlns="http://schemas.openxmlformats.org/spreadsheetml/2006/main" count="412" uniqueCount="174">
  <si>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</si>
  <si>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</si>
  <si>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</si>
  <si>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</si>
  <si>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</si>
  <si>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</si>
  <si>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</si>
  <si>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</si>
  <si>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</si>
  <si>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</si>
  <si>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</si>
  <si>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</si>
  <si>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</si>
  <si>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</si>
  <si>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</si>
  <si>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</si>
  <si>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</si>
  <si>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</si>
  <si>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</si>
  <si>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</si>
  <si>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</si>
  <si>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</si>
  <si>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</si>
  <si>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</si>
  <si>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S5</t>
  </si>
  <si>
    <t>Misc</t>
  </si>
  <si>
    <t>Type of system</t>
  </si>
  <si>
    <t>EA</t>
  </si>
  <si>
    <t xml:space="preserve">MVS 5,95 </t>
  </si>
  <si>
    <t>MVS 7,143</t>
  </si>
  <si>
    <t>IBVS 3593</t>
  </si>
  <si>
    <t>BAV-M 56</t>
  </si>
  <si>
    <t>BAV-M 59</t>
  </si>
  <si>
    <t>IBVS 4711</t>
  </si>
  <si>
    <t>IBVS 5016</t>
  </si>
  <si>
    <t>BBSAG 127</t>
  </si>
  <si>
    <t>I</t>
  </si>
  <si>
    <t>II</t>
  </si>
  <si>
    <t>Krajci, private comm.</t>
  </si>
  <si>
    <t>VS Bull 40</t>
  </si>
  <si>
    <t>IBVS</t>
  </si>
  <si>
    <t>IBVS 5296</t>
  </si>
  <si>
    <t>Krajci</t>
  </si>
  <si>
    <t># of data points:</t>
  </si>
  <si>
    <t>JD today</t>
  </si>
  <si>
    <t>Next ToM</t>
  </si>
  <si>
    <t>New Cycle</t>
  </si>
  <si>
    <t>My time zone &gt;&gt;&gt;&gt;&gt;</t>
  </si>
  <si>
    <t>(PST=8, PDT=MDT=7, MDT=CST=6, etc.)</t>
  </si>
  <si>
    <t>Local time</t>
  </si>
  <si>
    <t>FS Leo / GSC 00862-00442</t>
  </si>
  <si>
    <t>System Type:</t>
  </si>
  <si>
    <t>EB</t>
  </si>
  <si>
    <t>Not avail</t>
  </si>
  <si>
    <t>not avail</t>
  </si>
  <si>
    <t>Hipparcos</t>
  </si>
  <si>
    <t>ROTSE</t>
  </si>
  <si>
    <t>IBVS 5548</t>
  </si>
  <si>
    <t>S6</t>
  </si>
  <si>
    <t>Start of linear fit &gt;&gt;&gt;&gt;&gt;&gt;&gt;&gt;&gt;&gt;&gt;&gt;&gt;&gt;&gt;&gt;&gt;&gt;&gt;&gt;&gt;</t>
  </si>
  <si>
    <t>OEJV 0107</t>
  </si>
  <si>
    <t>Add cycle</t>
  </si>
  <si>
    <t>Old Cycle</t>
  </si>
  <si>
    <t>IBVS 6007</t>
  </si>
  <si>
    <t>BAD</t>
  </si>
  <si>
    <t>2013JAVSO..41..122</t>
  </si>
  <si>
    <t>OEJV 0160</t>
  </si>
  <si>
    <t>IBVS 6048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</si>
  <si>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</si>
  <si>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</si>
  <si>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</si>
  <si>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</si>
  <si>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</si>
  <si>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</si>
  <si>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</si>
  <si>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</si>
  <si>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</si>
  <si>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</si>
  <si>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</si>
  <si>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2452322.4207 </t>
  </si>
  <si>
    <t> 16.02.2002 22:05 </t>
  </si>
  <si>
    <t> -0.0030 </t>
  </si>
  <si>
    <t>E </t>
  </si>
  <si>
    <t>?</t>
  </si>
  <si>
    <t> G.Tas et al. </t>
  </si>
  <si>
    <t>IBVS 5548 </t>
  </si>
  <si>
    <t>2452323.3349 </t>
  </si>
  <si>
    <t> 17.02.2002 20:02 </t>
  </si>
  <si>
    <t> -0.0027 </t>
  </si>
  <si>
    <t>2452353.4921 </t>
  </si>
  <si>
    <t> 19.03.2002 23:48 </t>
  </si>
  <si>
    <t> -0.0053 </t>
  </si>
  <si>
    <t>2452364.4640 </t>
  </si>
  <si>
    <t> 30.03.2002 23:08 </t>
  </si>
  <si>
    <t> -0.0006 </t>
  </si>
  <si>
    <t>2452391.4222 </t>
  </si>
  <si>
    <t> 26.04.2002 22:07 </t>
  </si>
  <si>
    <t> -0.0034 </t>
  </si>
  <si>
    <t>2452397.3629 </t>
  </si>
  <si>
    <t> 02.05.2002 20:42 </t>
  </si>
  <si>
    <t> -0.0032 </t>
  </si>
  <si>
    <t>2452399.4204 </t>
  </si>
  <si>
    <t> 04.05.2002 22:05 </t>
  </si>
  <si>
    <t> -0.0021 </t>
  </si>
  <si>
    <t>2452692.3397 </t>
  </si>
  <si>
    <t> 21.02.2003 20:09 </t>
  </si>
  <si>
    <t> 0.0020 </t>
  </si>
  <si>
    <t>2452697.3654 </t>
  </si>
  <si>
    <t> 26.02.2003 20:46 </t>
  </si>
  <si>
    <t> 0.0010 </t>
  </si>
  <si>
    <t>2452697.5918 </t>
  </si>
  <si>
    <t> 27.02.2003 02:12 </t>
  </si>
  <si>
    <t> -0.0011 </t>
  </si>
  <si>
    <t>2452698.5051 </t>
  </si>
  <si>
    <t> 28.02.2003 00:07 </t>
  </si>
  <si>
    <t> -0.0017 </t>
  </si>
  <si>
    <t>2453082.3585 </t>
  </si>
  <si>
    <t> 17.03.2004 20:36 </t>
  </si>
  <si>
    <t> 0.0002 </t>
  </si>
  <si>
    <t> T.Krajci </t>
  </si>
  <si>
    <t>IBVS 5592 </t>
  </si>
  <si>
    <t>2453460.9423 </t>
  </si>
  <si>
    <t> 31.03.2005 10:36 </t>
  </si>
  <si>
    <t> -0.0124 </t>
  </si>
  <si>
    <t> Nakajima </t>
  </si>
  <si>
    <t>VSB 44 </t>
  </si>
  <si>
    <t>2453461.1839 </t>
  </si>
  <si>
    <t> 31.03.2005 16:24 </t>
  </si>
  <si>
    <t> 0.0007 </t>
  </si>
  <si>
    <t>2453832.6949 </t>
  </si>
  <si>
    <t> 07.04.2006 04:40 </t>
  </si>
  <si>
    <t>C </t>
  </si>
  <si>
    <t>V </t>
  </si>
  <si>
    <t> V.Petriew </t>
  </si>
  <si>
    <t> JAAVSO 41;122 </t>
  </si>
  <si>
    <t>2454942.4403 </t>
  </si>
  <si>
    <t> 20.04.2009 22:34 </t>
  </si>
  <si>
    <t> 0.0015 </t>
  </si>
  <si>
    <t> L.Brát </t>
  </si>
  <si>
    <t>OEJV 0107 </t>
  </si>
  <si>
    <t>2454942.4410 </t>
  </si>
  <si>
    <t> 20.04.2009 22:35 </t>
  </si>
  <si>
    <t> 0.0022 </t>
  </si>
  <si>
    <t>2454942.4411 </t>
  </si>
  <si>
    <t> 0.0023 </t>
  </si>
  <si>
    <t>R</t>
  </si>
  <si>
    <t>2455592.47240 </t>
  </si>
  <si>
    <t> 30.01.2011 23:20 </t>
  </si>
  <si>
    <t> -0.00070 </t>
  </si>
  <si>
    <t> R.Uhlar </t>
  </si>
  <si>
    <t>IBVS 6007 </t>
  </si>
  <si>
    <t>2455617.60629 </t>
  </si>
  <si>
    <t> 25.02.2011 02:33 </t>
  </si>
  <si>
    <t> 0.00006 </t>
  </si>
  <si>
    <t>2455957.5916 </t>
  </si>
  <si>
    <t> 31.01.2012 02:11 </t>
  </si>
  <si>
    <t> 0.0026 </t>
  </si>
  <si>
    <t> J.Trnka </t>
  </si>
  <si>
    <t>OEJV 0160 </t>
  </si>
  <si>
    <t>2456001.4582 </t>
  </si>
  <si>
    <t> 14.03.2012 22:59 </t>
  </si>
  <si>
    <t> 0.0004 </t>
  </si>
  <si>
    <t> P.Frank </t>
  </si>
  <si>
    <t>BAVM 228 </t>
  </si>
  <si>
    <t>2456012.4254 </t>
  </si>
  <si>
    <t> 25.03.2012 22:12 </t>
  </si>
  <si>
    <t> 0.0005 </t>
  </si>
  <si>
    <t> M.Mašek </t>
  </si>
  <si>
    <t>VSB-64</t>
  </si>
  <si>
    <t>s5</t>
  </si>
  <si>
    <t>s6</t>
  </si>
  <si>
    <t>OEJV 0211</t>
  </si>
  <si>
    <t>JAVSO 49, 256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</si>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</sst>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2" fillId="0" borderId="1" applyNumberFormat="0" applyFont="0" applyFill="0" applyAlignment="0" applyProtection="0"/>
  </cellStyleXfs>
  <cellXfs count="9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quotePrefix="1" applyFont="1" applyAlignment="1"/>
    <xf numFmtId="0" fontId="10" fillId="0" borderId="0" xfId="0" applyFont="1" applyAlignment="1"/>
    <xf numFmtId="2" fontId="0" fillId="0" borderId="0" xfId="0" applyNumberFormat="1" applyAlignment="1"/>
    <xf numFmtId="172" fontId="0" fillId="0" borderId="0" xfId="0" applyNumberForma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NumberFormat="1" applyFont="1" applyAlignment="1">
      <alignment horizontal="left"/>
    </xf>
    <xf numFmtId="0" fontId="11" fillId="0" borderId="0" xfId="0" applyFont="1">
      <alignment vertical="top"/>
    </xf>
    <xf numFmtId="0" fontId="0" fillId="0" borderId="0" xfId="0" applyAlignment="1">
      <alignment horizontal="left"/>
    </xf>
    <xf numFmtId="172" fontId="11" fillId="0" borderId="0" xfId="0" applyNumberFormat="1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13" fillId="0" borderId="0" xfId="0" applyFont="1" applyAlignment="1"/>
    <xf numFmtId="0" fontId="14" fillId="0" borderId="0" xfId="0" applyFont="1" applyAlignment="1"/>
    <xf numFmtId="0" fontId="12" fillId="0" borderId="0" xfId="0" applyFont="1" applyAlignment="1"/>
    <xf numFmtId="22" fontId="11" fillId="0" borderId="0" xfId="0" applyNumberFormat="1" applyFont="1" applyAlignment="1"/>
    <xf numFmtId="0" fontId="15" fillId="0" borderId="0" xfId="0" applyFont="1" applyAlignment="1"/>
    <xf numFmtId="0" fontId="11" fillId="0" borderId="0" xfId="0" applyFont="1" applyAlignment="1">
      <alignment horizontal="right"/>
    </xf>
    <xf numFmtId="0" fontId="0" fillId="0" borderId="0" xfId="0" quotePrefix="1" applyAlignment="1"/>
    <xf numFmtId="173" fontId="0" fillId="0" borderId="0" xfId="0" applyNumberForma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2" fontId="0" fillId="0" borderId="0" xfId="0" applyNumberFormat="1" applyAlignment="1">
      <alignment horizontal="left"/>
    </xf>
    <xf numFmtId="22" fontId="0" fillId="0" borderId="0" xfId="0" applyNumberForma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172" fontId="23" fillId="0" borderId="0" xfId="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18" fillId="0" borderId="0" xfId="8" applyFont="1" applyAlignment="1">
      <alignment vertical="center"/>
    </xf>
    <xf numFmtId="0" fontId="18" fillId="0" borderId="0" xfId="8" applyFont="1" applyAlignment="1">
      <alignment horizontal="center" vertical="center"/>
    </xf>
    <xf numFmtId="0" fontId="18" fillId="0" borderId="0" xfId="8" applyFont="1" applyAlignment="1">
      <alignment horizontal="left" vertical="center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FS Leo - O-C Diagr.</a:t>
            </a:r>
          </a:p>
        </c:rich>
      </c:tx>
      <c:layout>
        <c:manualLayout>
          <c:xMode val="edge"/>
          <c:yMode val="edge"/>
          <c:x val="0.3828128280839894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50010490425485"/>
          <c:y val="0.14723926380368099"/>
          <c:w val="0.8140631210808724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-9.9119499998778338E-2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B4-46D1-84AD-43612C1304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2">
                  <c:v>-6.3278500005253591E-2</c:v>
                </c:pt>
                <c:pt idx="3">
                  <c:v>-4.6501500000886153E-2</c:v>
                </c:pt>
                <c:pt idx="4">
                  <c:v>-2.7443500002846122E-2</c:v>
                </c:pt>
                <c:pt idx="5">
                  <c:v>-9.3855000086477958E-3</c:v>
                </c:pt>
                <c:pt idx="6">
                  <c:v>0.10589400000026217</c:v>
                </c:pt>
                <c:pt idx="7">
                  <c:v>-8.6533500005316455E-2</c:v>
                </c:pt>
                <c:pt idx="9">
                  <c:v>-8.987899999920046E-2</c:v>
                </c:pt>
                <c:pt idx="10">
                  <c:v>5.4347500001313165E-2</c:v>
                </c:pt>
                <c:pt idx="14">
                  <c:v>7.9941499992855825E-2</c:v>
                </c:pt>
                <c:pt idx="16">
                  <c:v>-1.0981000006722752E-2</c:v>
                </c:pt>
                <c:pt idx="17">
                  <c:v>6.5549999999348074E-3</c:v>
                </c:pt>
                <c:pt idx="18">
                  <c:v>-1.8775999997160397E-2</c:v>
                </c:pt>
                <c:pt idx="23">
                  <c:v>-3.5744000000704546E-2</c:v>
                </c:pt>
                <c:pt idx="24">
                  <c:v>-3.5486000000673812E-2</c:v>
                </c:pt>
                <c:pt idx="25">
                  <c:v>-3.8372000002709683E-2</c:v>
                </c:pt>
                <c:pt idx="26">
                  <c:v>-3.3776000003854278E-2</c:v>
                </c:pt>
                <c:pt idx="27">
                  <c:v>-3.6865000001853332E-2</c:v>
                </c:pt>
                <c:pt idx="28">
                  <c:v>-3.6788000004889909E-2</c:v>
                </c:pt>
                <c:pt idx="29">
                  <c:v>-3.5657499996887054E-2</c:v>
                </c:pt>
                <c:pt idx="32">
                  <c:v>-3.4768500008794945E-2</c:v>
                </c:pt>
                <c:pt idx="33">
                  <c:v>-3.5749499998928513E-2</c:v>
                </c:pt>
                <c:pt idx="34">
                  <c:v>-3.7835000002814922E-2</c:v>
                </c:pt>
                <c:pt idx="35">
                  <c:v>-3.8477000001876149E-2</c:v>
                </c:pt>
                <c:pt idx="38" formatCode="0.0000">
                  <c:v>-4.0717000003496651E-2</c:v>
                </c:pt>
                <c:pt idx="39" formatCode="0.0000">
                  <c:v>-5.7390499998291489E-2</c:v>
                </c:pt>
                <c:pt idx="40" formatCode="0.0000">
                  <c:v>-4.4276000000536442E-2</c:v>
                </c:pt>
                <c:pt idx="43" formatCode="0.0000">
                  <c:v>-5.8672500003012829E-2</c:v>
                </c:pt>
                <c:pt idx="45" formatCode="0.0000">
                  <c:v>-5.8572500005539041E-2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B4-46D1-84AD-43612C1304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1">
                  <c:v>-2.2479999999632128E-2</c:v>
                </c:pt>
                <c:pt idx="12">
                  <c:v>0.10799999999289867</c:v>
                </c:pt>
                <c:pt idx="13">
                  <c:v>0.10899999999674037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B4-46D1-84AD-43612C1304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5" formatCode="0.0000">
                  <c:v>0</c:v>
                </c:pt>
                <c:pt idx="19">
                  <c:v>6.4143999996304046E-2</c:v>
                </c:pt>
                <c:pt idx="20" formatCode="0.0000">
                  <c:v>6.4143999996304046E-2</c:v>
                </c:pt>
                <c:pt idx="21">
                  <c:v>-2.216450000560144E-2</c:v>
                </c:pt>
                <c:pt idx="22" formatCode="0.0000">
                  <c:v>-2.216450000560144E-2</c:v>
                </c:pt>
                <c:pt idx="36" formatCode="0.0000">
                  <c:v>-0.10755250000511296</c:v>
                </c:pt>
                <c:pt idx="37" formatCode="0.0000">
                  <c:v>-0.10753650000697235</c:v>
                </c:pt>
                <c:pt idx="41" formatCode="0.0000">
                  <c:v>-5.0698999999440275E-2</c:v>
                </c:pt>
                <c:pt idx="42" formatCode="0.0000">
                  <c:v>-5.9372499999881256E-2</c:v>
                </c:pt>
                <c:pt idx="44" formatCode="0.0000">
                  <c:v>-5.8632500004023314E-2</c:v>
                </c:pt>
                <c:pt idx="46" formatCode="0.0000">
                  <c:v>-5.8522500003164168E-2</c:v>
                </c:pt>
                <c:pt idx="47" formatCode="0.0000">
                  <c:v>-6.8520000000717118E-2</c:v>
                </c:pt>
                <c:pt idx="48" formatCode="0.0000">
                  <c:v>-6.8034999996598344E-2</c:v>
                </c:pt>
                <c:pt idx="49" formatCode="0.0000">
                  <c:v>-6.9149000002653338E-2</c:v>
                </c:pt>
                <c:pt idx="50" formatCode="0.0000">
                  <c:v>-7.1765000000596046E-2</c:v>
                </c:pt>
                <c:pt idx="51" formatCode="0.0000">
                  <c:v>-7.1868999999423977E-2</c:v>
                </c:pt>
                <c:pt idx="52" formatCode="0.0000">
                  <c:v>-8.9055499913229141E-2</c:v>
                </c:pt>
                <c:pt idx="53" formatCode="0.0000">
                  <c:v>-9.1410000000905711E-2</c:v>
                </c:pt>
                <c:pt idx="54" formatCode="0.0000">
                  <c:v>-9.310700014611939E-2</c:v>
                </c:pt>
                <c:pt idx="55" formatCode="0.0000">
                  <c:v>-9.9834000000555534E-2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B4-46D1-84AD-43612C1304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B4-46D1-84AD-43612C1304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B4-46D1-84AD-43612C1304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1">
                  <c:v>5.469999996421393E-3</c:v>
                </c:pt>
                <c:pt idx="8">
                  <c:v>6.3372500000696164E-2</c:v>
                </c:pt>
                <c:pt idx="30">
                  <c:v>-0.11254150000604568</c:v>
                </c:pt>
                <c:pt idx="31" formatCode="0.0000">
                  <c:v>-0.11254150000604568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B4-46D1-84AD-43612C1304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0.19980301381103022</c:v>
                </c:pt>
                <c:pt idx="1">
                  <c:v>0.10831431161871945</c:v>
                </c:pt>
                <c:pt idx="2">
                  <c:v>0.10424215666468241</c:v>
                </c:pt>
                <c:pt idx="3">
                  <c:v>7.7461833575039885E-2</c:v>
                </c:pt>
                <c:pt idx="4">
                  <c:v>7.7452291325586953E-2</c:v>
                </c:pt>
                <c:pt idx="5">
                  <c:v>7.7442749076134035E-2</c:v>
                </c:pt>
                <c:pt idx="6">
                  <c:v>7.3695030603496539E-2</c:v>
                </c:pt>
                <c:pt idx="7">
                  <c:v>7.3683102791680388E-2</c:v>
                </c:pt>
                <c:pt idx="8">
                  <c:v>6.645961995581387E-2</c:v>
                </c:pt>
                <c:pt idx="9">
                  <c:v>2.0434965281978728E-2</c:v>
                </c:pt>
                <c:pt idx="10">
                  <c:v>1.2665188664932076E-2</c:v>
                </c:pt>
                <c:pt idx="11">
                  <c:v>1.2176148380469515E-2</c:v>
                </c:pt>
                <c:pt idx="12">
                  <c:v>8.7409385774154229E-3</c:v>
                </c:pt>
                <c:pt idx="13">
                  <c:v>8.7409385774154229E-3</c:v>
                </c:pt>
                <c:pt idx="14">
                  <c:v>8.4379721572849578E-3</c:v>
                </c:pt>
                <c:pt idx="15">
                  <c:v>5.401151268890611E-3</c:v>
                </c:pt>
                <c:pt idx="16">
                  <c:v>-1.0396042700431748E-2</c:v>
                </c:pt>
                <c:pt idx="17">
                  <c:v>-2.5587303829493178E-2</c:v>
                </c:pt>
                <c:pt idx="18">
                  <c:v>-2.8741017273685894E-2</c:v>
                </c:pt>
                <c:pt idx="19">
                  <c:v>-3.3416719505620626E-2</c:v>
                </c:pt>
                <c:pt idx="20">
                  <c:v>-3.3416719505620626E-2</c:v>
                </c:pt>
                <c:pt idx="21">
                  <c:v>-3.3481129689427895E-2</c:v>
                </c:pt>
                <c:pt idx="22">
                  <c:v>-3.3481129689427895E-2</c:v>
                </c:pt>
                <c:pt idx="23">
                  <c:v>-3.4504535943254422E-2</c:v>
                </c:pt>
                <c:pt idx="24">
                  <c:v>-3.4514078192707354E-2</c:v>
                </c:pt>
                <c:pt idx="25">
                  <c:v>-3.4828972424653978E-2</c:v>
                </c:pt>
                <c:pt idx="26">
                  <c:v>-3.4943479418089111E-2</c:v>
                </c:pt>
                <c:pt idx="27">
                  <c:v>-3.5224975776950489E-2</c:v>
                </c:pt>
                <c:pt idx="28">
                  <c:v>-3.5287000398394525E-2</c:v>
                </c:pt>
                <c:pt idx="29">
                  <c:v>-3.5308470459663607E-2</c:v>
                </c:pt>
                <c:pt idx="30">
                  <c:v>-3.7236004849155076E-2</c:v>
                </c:pt>
                <c:pt idx="31">
                  <c:v>-3.7236004849155076E-2</c:v>
                </c:pt>
                <c:pt idx="32">
                  <c:v>-3.8366761409327044E-2</c:v>
                </c:pt>
                <c:pt idx="33">
                  <c:v>-3.8419243781318148E-2</c:v>
                </c:pt>
                <c:pt idx="34">
                  <c:v>-3.8421629343681381E-2</c:v>
                </c:pt>
                <c:pt idx="35">
                  <c:v>-3.8431171593134313E-2</c:v>
                </c:pt>
                <c:pt idx="36">
                  <c:v>-4.1248520744111311E-2</c:v>
                </c:pt>
                <c:pt idx="37">
                  <c:v>-4.1248520744111311E-2</c:v>
                </c:pt>
                <c:pt idx="38">
                  <c:v>-4.2438916363364082E-2</c:v>
                </c:pt>
                <c:pt idx="39">
                  <c:v>-4.6391793199239521E-2</c:v>
                </c:pt>
                <c:pt idx="40">
                  <c:v>-4.6394178761602754E-2</c:v>
                </c:pt>
                <c:pt idx="41">
                  <c:v>-5.0273103164218E-2</c:v>
                </c:pt>
                <c:pt idx="42">
                  <c:v>-6.1859779562435865E-2</c:v>
                </c:pt>
                <c:pt idx="43">
                  <c:v>-6.1859779562435865E-2</c:v>
                </c:pt>
                <c:pt idx="44">
                  <c:v>-6.1859779562435865E-2</c:v>
                </c:pt>
                <c:pt idx="45">
                  <c:v>-6.1859779562435865E-2</c:v>
                </c:pt>
                <c:pt idx="46">
                  <c:v>-6.1859779562435865E-2</c:v>
                </c:pt>
                <c:pt idx="47">
                  <c:v>-6.864670448583092E-2</c:v>
                </c:pt>
                <c:pt idx="48">
                  <c:v>-6.8909116345786448E-2</c:v>
                </c:pt>
                <c:pt idx="49">
                  <c:v>-7.2458833142275678E-2</c:v>
                </c:pt>
                <c:pt idx="50">
                  <c:v>-7.2916861116016224E-2</c:v>
                </c:pt>
                <c:pt idx="51">
                  <c:v>-7.3031368109451364E-2</c:v>
                </c:pt>
                <c:pt idx="52">
                  <c:v>-9.1502777487956793E-2</c:v>
                </c:pt>
                <c:pt idx="53">
                  <c:v>-9.4840179234118374E-2</c:v>
                </c:pt>
                <c:pt idx="54">
                  <c:v>-9.5636957063437875E-2</c:v>
                </c:pt>
                <c:pt idx="55">
                  <c:v>-0.10745503301088924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B4-46D1-84AD-43612C13049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Active!$U$21:$U$989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B4-46D1-84AD-43612C130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266384"/>
        <c:axId val="1"/>
      </c:scatterChart>
      <c:valAx>
        <c:axId val="1090266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378280839895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266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1875016404199475"/>
          <c:y val="0.91185955529143758"/>
          <c:w val="0.8640631561679790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FS Leo - O-C Diagr.</a:t>
            </a:r>
          </a:p>
        </c:rich>
      </c:tx>
      <c:layout>
        <c:manualLayout>
          <c:xMode val="edge"/>
          <c:yMode val="edge"/>
          <c:x val="0.3828128280839894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50010490425485"/>
          <c:y val="0.14723926380368099"/>
          <c:w val="0.8140631210808724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-9.9119499998778338E-2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5A-465F-BF51-BCC0C024C02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2">
                  <c:v>-6.3278500005253591E-2</c:v>
                </c:pt>
                <c:pt idx="3">
                  <c:v>-4.6501500000886153E-2</c:v>
                </c:pt>
                <c:pt idx="4">
                  <c:v>-2.7443500002846122E-2</c:v>
                </c:pt>
                <c:pt idx="5">
                  <c:v>-9.3855000086477958E-3</c:v>
                </c:pt>
                <c:pt idx="6">
                  <c:v>0.10589400000026217</c:v>
                </c:pt>
                <c:pt idx="7">
                  <c:v>-8.6533500005316455E-2</c:v>
                </c:pt>
                <c:pt idx="9">
                  <c:v>-8.987899999920046E-2</c:v>
                </c:pt>
                <c:pt idx="10">
                  <c:v>5.4347500001313165E-2</c:v>
                </c:pt>
                <c:pt idx="14">
                  <c:v>7.9941499992855825E-2</c:v>
                </c:pt>
                <c:pt idx="16">
                  <c:v>-1.0981000006722752E-2</c:v>
                </c:pt>
                <c:pt idx="17">
                  <c:v>6.5549999999348074E-3</c:v>
                </c:pt>
                <c:pt idx="18">
                  <c:v>-1.8775999997160397E-2</c:v>
                </c:pt>
                <c:pt idx="23">
                  <c:v>-3.5744000000704546E-2</c:v>
                </c:pt>
                <c:pt idx="24">
                  <c:v>-3.5486000000673812E-2</c:v>
                </c:pt>
                <c:pt idx="25">
                  <c:v>-3.8372000002709683E-2</c:v>
                </c:pt>
                <c:pt idx="26">
                  <c:v>-3.3776000003854278E-2</c:v>
                </c:pt>
                <c:pt idx="27">
                  <c:v>-3.6865000001853332E-2</c:v>
                </c:pt>
                <c:pt idx="28">
                  <c:v>-3.6788000004889909E-2</c:v>
                </c:pt>
                <c:pt idx="29">
                  <c:v>-3.5657499996887054E-2</c:v>
                </c:pt>
                <c:pt idx="32">
                  <c:v>-3.4768500008794945E-2</c:v>
                </c:pt>
                <c:pt idx="33">
                  <c:v>-3.5749499998928513E-2</c:v>
                </c:pt>
                <c:pt idx="34">
                  <c:v>-3.7835000002814922E-2</c:v>
                </c:pt>
                <c:pt idx="35">
                  <c:v>-3.8477000001876149E-2</c:v>
                </c:pt>
                <c:pt idx="38" formatCode="0.0000">
                  <c:v>-4.0717000003496651E-2</c:v>
                </c:pt>
                <c:pt idx="39" formatCode="0.0000">
                  <c:v>-5.7390499998291489E-2</c:v>
                </c:pt>
                <c:pt idx="40" formatCode="0.0000">
                  <c:v>-4.4276000000536442E-2</c:v>
                </c:pt>
                <c:pt idx="43" formatCode="0.0000">
                  <c:v>-5.8672500003012829E-2</c:v>
                </c:pt>
                <c:pt idx="45" formatCode="0.0000">
                  <c:v>-5.8572500005539041E-2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5A-465F-BF51-BCC0C024C0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1">
                  <c:v>-2.2479999999632128E-2</c:v>
                </c:pt>
                <c:pt idx="12">
                  <c:v>0.10799999999289867</c:v>
                </c:pt>
                <c:pt idx="13">
                  <c:v>0.10899999999674037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5A-465F-BF51-BCC0C024C0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5" formatCode="0.0000">
                  <c:v>0</c:v>
                </c:pt>
                <c:pt idx="19">
                  <c:v>6.4143999996304046E-2</c:v>
                </c:pt>
                <c:pt idx="20" formatCode="0.0000">
                  <c:v>6.4143999996304046E-2</c:v>
                </c:pt>
                <c:pt idx="21">
                  <c:v>-2.216450000560144E-2</c:v>
                </c:pt>
                <c:pt idx="22" formatCode="0.0000">
                  <c:v>-2.216450000560144E-2</c:v>
                </c:pt>
                <c:pt idx="36" formatCode="0.0000">
                  <c:v>-0.10755250000511296</c:v>
                </c:pt>
                <c:pt idx="37" formatCode="0.0000">
                  <c:v>-0.10753650000697235</c:v>
                </c:pt>
                <c:pt idx="41" formatCode="0.0000">
                  <c:v>-5.0698999999440275E-2</c:v>
                </c:pt>
                <c:pt idx="42" formatCode="0.0000">
                  <c:v>-5.9372499999881256E-2</c:v>
                </c:pt>
                <c:pt idx="44" formatCode="0.0000">
                  <c:v>-5.8632500004023314E-2</c:v>
                </c:pt>
                <c:pt idx="46" formatCode="0.0000">
                  <c:v>-5.8522500003164168E-2</c:v>
                </c:pt>
                <c:pt idx="47" formatCode="0.0000">
                  <c:v>-6.8520000000717118E-2</c:v>
                </c:pt>
                <c:pt idx="48" formatCode="0.0000">
                  <c:v>-6.8034999996598344E-2</c:v>
                </c:pt>
                <c:pt idx="49" formatCode="0.0000">
                  <c:v>-6.9149000002653338E-2</c:v>
                </c:pt>
                <c:pt idx="50" formatCode="0.0000">
                  <c:v>-7.1765000000596046E-2</c:v>
                </c:pt>
                <c:pt idx="51" formatCode="0.0000">
                  <c:v>-7.1868999999423977E-2</c:v>
                </c:pt>
                <c:pt idx="52" formatCode="0.0000">
                  <c:v>-8.9055499913229141E-2</c:v>
                </c:pt>
                <c:pt idx="53" formatCode="0.0000">
                  <c:v>-9.1410000000905711E-2</c:v>
                </c:pt>
                <c:pt idx="54" formatCode="0.0000">
                  <c:v>-9.310700014611939E-2</c:v>
                </c:pt>
                <c:pt idx="55" formatCode="0.0000">
                  <c:v>-9.9834000000555534E-2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5A-465F-BF51-BCC0C024C0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5A-465F-BF51-BCC0C024C0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5A-465F-BF51-BCC0C024C0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6">
                    <c:v>2.2000000000000001E-3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36">
                    <c:v>1E-4</c:v>
                  </c:pt>
                  <c:pt idx="37">
                    <c:v>1E-4</c:v>
                  </c:pt>
                  <c:pt idx="41">
                    <c:v>1E-4</c:v>
                  </c:pt>
                  <c:pt idx="42">
                    <c:v>1E-3</c:v>
                  </c:pt>
                  <c:pt idx="44">
                    <c:v>8.9999999999999998E-4</c:v>
                  </c:pt>
                  <c:pt idx="46">
                    <c:v>6.9999999999999999E-4</c:v>
                  </c:pt>
                  <c:pt idx="47">
                    <c:v>4.8999999999999998E-4</c:v>
                  </c:pt>
                  <c:pt idx="48">
                    <c:v>2.9E-4</c:v>
                  </c:pt>
                  <c:pt idx="49">
                    <c:v>1E-4</c:v>
                  </c:pt>
                  <c:pt idx="50">
                    <c:v>1.6000000000000001E-3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1">
                  <c:v>5.469999996421393E-3</c:v>
                </c:pt>
                <c:pt idx="8">
                  <c:v>6.3372500000696164E-2</c:v>
                </c:pt>
                <c:pt idx="30">
                  <c:v>-0.11254150000604568</c:v>
                </c:pt>
                <c:pt idx="31" formatCode="0.0000">
                  <c:v>-0.11254150000604568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5A-465F-BF51-BCC0C024C0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0.19980301381103022</c:v>
                </c:pt>
                <c:pt idx="1">
                  <c:v>0.10831431161871945</c:v>
                </c:pt>
                <c:pt idx="2">
                  <c:v>0.10424215666468241</c:v>
                </c:pt>
                <c:pt idx="3">
                  <c:v>7.7461833575039885E-2</c:v>
                </c:pt>
                <c:pt idx="4">
                  <c:v>7.7452291325586953E-2</c:v>
                </c:pt>
                <c:pt idx="5">
                  <c:v>7.7442749076134035E-2</c:v>
                </c:pt>
                <c:pt idx="6">
                  <c:v>7.3695030603496539E-2</c:v>
                </c:pt>
                <c:pt idx="7">
                  <c:v>7.3683102791680388E-2</c:v>
                </c:pt>
                <c:pt idx="8">
                  <c:v>6.645961995581387E-2</c:v>
                </c:pt>
                <c:pt idx="9">
                  <c:v>2.0434965281978728E-2</c:v>
                </c:pt>
                <c:pt idx="10">
                  <c:v>1.2665188664932076E-2</c:v>
                </c:pt>
                <c:pt idx="11">
                  <c:v>1.2176148380469515E-2</c:v>
                </c:pt>
                <c:pt idx="12">
                  <c:v>8.7409385774154229E-3</c:v>
                </c:pt>
                <c:pt idx="13">
                  <c:v>8.7409385774154229E-3</c:v>
                </c:pt>
                <c:pt idx="14">
                  <c:v>8.4379721572849578E-3</c:v>
                </c:pt>
                <c:pt idx="15">
                  <c:v>5.401151268890611E-3</c:v>
                </c:pt>
                <c:pt idx="16">
                  <c:v>-1.0396042700431748E-2</c:v>
                </c:pt>
                <c:pt idx="17">
                  <c:v>-2.5587303829493178E-2</c:v>
                </c:pt>
                <c:pt idx="18">
                  <c:v>-2.8741017273685894E-2</c:v>
                </c:pt>
                <c:pt idx="19">
                  <c:v>-3.3416719505620626E-2</c:v>
                </c:pt>
                <c:pt idx="20">
                  <c:v>-3.3416719505620626E-2</c:v>
                </c:pt>
                <c:pt idx="21">
                  <c:v>-3.3481129689427895E-2</c:v>
                </c:pt>
                <c:pt idx="22">
                  <c:v>-3.3481129689427895E-2</c:v>
                </c:pt>
                <c:pt idx="23">
                  <c:v>-3.4504535943254422E-2</c:v>
                </c:pt>
                <c:pt idx="24">
                  <c:v>-3.4514078192707354E-2</c:v>
                </c:pt>
                <c:pt idx="25">
                  <c:v>-3.4828972424653978E-2</c:v>
                </c:pt>
                <c:pt idx="26">
                  <c:v>-3.4943479418089111E-2</c:v>
                </c:pt>
                <c:pt idx="27">
                  <c:v>-3.5224975776950489E-2</c:v>
                </c:pt>
                <c:pt idx="28">
                  <c:v>-3.5287000398394525E-2</c:v>
                </c:pt>
                <c:pt idx="29">
                  <c:v>-3.5308470459663607E-2</c:v>
                </c:pt>
                <c:pt idx="30">
                  <c:v>-3.7236004849155076E-2</c:v>
                </c:pt>
                <c:pt idx="31">
                  <c:v>-3.7236004849155076E-2</c:v>
                </c:pt>
                <c:pt idx="32">
                  <c:v>-3.8366761409327044E-2</c:v>
                </c:pt>
                <c:pt idx="33">
                  <c:v>-3.8419243781318148E-2</c:v>
                </c:pt>
                <c:pt idx="34">
                  <c:v>-3.8421629343681381E-2</c:v>
                </c:pt>
                <c:pt idx="35">
                  <c:v>-3.8431171593134313E-2</c:v>
                </c:pt>
                <c:pt idx="36">
                  <c:v>-4.1248520744111311E-2</c:v>
                </c:pt>
                <c:pt idx="37">
                  <c:v>-4.1248520744111311E-2</c:v>
                </c:pt>
                <c:pt idx="38">
                  <c:v>-4.2438916363364082E-2</c:v>
                </c:pt>
                <c:pt idx="39">
                  <c:v>-4.6391793199239521E-2</c:v>
                </c:pt>
                <c:pt idx="40">
                  <c:v>-4.6394178761602754E-2</c:v>
                </c:pt>
                <c:pt idx="41">
                  <c:v>-5.0273103164218E-2</c:v>
                </c:pt>
                <c:pt idx="42">
                  <c:v>-6.1859779562435865E-2</c:v>
                </c:pt>
                <c:pt idx="43">
                  <c:v>-6.1859779562435865E-2</c:v>
                </c:pt>
                <c:pt idx="44">
                  <c:v>-6.1859779562435865E-2</c:v>
                </c:pt>
                <c:pt idx="45">
                  <c:v>-6.1859779562435865E-2</c:v>
                </c:pt>
                <c:pt idx="46">
                  <c:v>-6.1859779562435865E-2</c:v>
                </c:pt>
                <c:pt idx="47">
                  <c:v>-6.864670448583092E-2</c:v>
                </c:pt>
                <c:pt idx="48">
                  <c:v>-6.8909116345786448E-2</c:v>
                </c:pt>
                <c:pt idx="49">
                  <c:v>-7.2458833142275678E-2</c:v>
                </c:pt>
                <c:pt idx="50">
                  <c:v>-7.2916861116016224E-2</c:v>
                </c:pt>
                <c:pt idx="51">
                  <c:v>-7.3031368109451364E-2</c:v>
                </c:pt>
                <c:pt idx="52">
                  <c:v>-9.1502777487956793E-2</c:v>
                </c:pt>
                <c:pt idx="53">
                  <c:v>-9.4840179234118374E-2</c:v>
                </c:pt>
                <c:pt idx="54">
                  <c:v>-9.5636957063437875E-2</c:v>
                </c:pt>
                <c:pt idx="55">
                  <c:v>-0.10745503301088924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5A-465F-BF51-BCC0C024C02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-40745.5</c:v>
                </c:pt>
                <c:pt idx="1">
                  <c:v>-21570</c:v>
                </c:pt>
                <c:pt idx="2">
                  <c:v>-20716.5</c:v>
                </c:pt>
                <c:pt idx="3">
                  <c:v>-15103.5</c:v>
                </c:pt>
                <c:pt idx="4">
                  <c:v>-15101.5</c:v>
                </c:pt>
                <c:pt idx="5">
                  <c:v>-15099.5</c:v>
                </c:pt>
                <c:pt idx="6">
                  <c:v>-14314</c:v>
                </c:pt>
                <c:pt idx="7">
                  <c:v>-14311.5</c:v>
                </c:pt>
                <c:pt idx="8">
                  <c:v>-12797.5</c:v>
                </c:pt>
                <c:pt idx="9">
                  <c:v>-3151</c:v>
                </c:pt>
                <c:pt idx="10">
                  <c:v>-1522.5</c:v>
                </c:pt>
                <c:pt idx="11">
                  <c:v>-1420</c:v>
                </c:pt>
                <c:pt idx="12">
                  <c:v>-700</c:v>
                </c:pt>
                <c:pt idx="13">
                  <c:v>-700</c:v>
                </c:pt>
                <c:pt idx="14">
                  <c:v>-636.5</c:v>
                </c:pt>
                <c:pt idx="15">
                  <c:v>0</c:v>
                </c:pt>
                <c:pt idx="16">
                  <c:v>3311</c:v>
                </c:pt>
                <c:pt idx="17">
                  <c:v>6495</c:v>
                </c:pt>
                <c:pt idx="18">
                  <c:v>7156</c:v>
                </c:pt>
                <c:pt idx="19">
                  <c:v>8136</c:v>
                </c:pt>
                <c:pt idx="20">
                  <c:v>8136</c:v>
                </c:pt>
                <c:pt idx="21">
                  <c:v>8149.5</c:v>
                </c:pt>
                <c:pt idx="22">
                  <c:v>8149.5</c:v>
                </c:pt>
                <c:pt idx="23">
                  <c:v>8364</c:v>
                </c:pt>
                <c:pt idx="24">
                  <c:v>8366</c:v>
                </c:pt>
                <c:pt idx="25">
                  <c:v>8432</c:v>
                </c:pt>
                <c:pt idx="26">
                  <c:v>8456</c:v>
                </c:pt>
                <c:pt idx="27">
                  <c:v>8515</c:v>
                </c:pt>
                <c:pt idx="28">
                  <c:v>8528</c:v>
                </c:pt>
                <c:pt idx="29">
                  <c:v>8532.5</c:v>
                </c:pt>
                <c:pt idx="30">
                  <c:v>8936.5</c:v>
                </c:pt>
                <c:pt idx="31">
                  <c:v>8936.5</c:v>
                </c:pt>
                <c:pt idx="32">
                  <c:v>9173.5</c:v>
                </c:pt>
                <c:pt idx="33">
                  <c:v>9184.5</c:v>
                </c:pt>
                <c:pt idx="34">
                  <c:v>9185</c:v>
                </c:pt>
                <c:pt idx="35">
                  <c:v>9187</c:v>
                </c:pt>
                <c:pt idx="36">
                  <c:v>9777.5</c:v>
                </c:pt>
                <c:pt idx="37">
                  <c:v>9777.5</c:v>
                </c:pt>
                <c:pt idx="38">
                  <c:v>10027</c:v>
                </c:pt>
                <c:pt idx="39">
                  <c:v>10855.5</c:v>
                </c:pt>
                <c:pt idx="40">
                  <c:v>10856</c:v>
                </c:pt>
                <c:pt idx="41">
                  <c:v>11669</c:v>
                </c:pt>
                <c:pt idx="42">
                  <c:v>14097.5</c:v>
                </c:pt>
                <c:pt idx="43">
                  <c:v>14097.5</c:v>
                </c:pt>
                <c:pt idx="44">
                  <c:v>14097.5</c:v>
                </c:pt>
                <c:pt idx="45">
                  <c:v>14097.5</c:v>
                </c:pt>
                <c:pt idx="46">
                  <c:v>14097.5</c:v>
                </c:pt>
                <c:pt idx="47">
                  <c:v>15520</c:v>
                </c:pt>
                <c:pt idx="48">
                  <c:v>15575</c:v>
                </c:pt>
                <c:pt idx="49">
                  <c:v>16319</c:v>
                </c:pt>
                <c:pt idx="50">
                  <c:v>16415</c:v>
                </c:pt>
                <c:pt idx="51">
                  <c:v>16439</c:v>
                </c:pt>
                <c:pt idx="52">
                  <c:v>20310.5</c:v>
                </c:pt>
                <c:pt idx="53">
                  <c:v>21010</c:v>
                </c:pt>
                <c:pt idx="54">
                  <c:v>21177</c:v>
                </c:pt>
                <c:pt idx="55">
                  <c:v>23654</c:v>
                </c:pt>
              </c:numCache>
            </c:numRef>
          </c:xVal>
          <c:yVal>
            <c:numRef>
              <c:f>Active!$U$21:$U$989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5A-465F-BF51-BCC0C024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266384"/>
        <c:axId val="1"/>
      </c:scatterChart>
      <c:valAx>
        <c:axId val="1090266384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378280839895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266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1250016404199474"/>
          <c:y val="0.92024539877300615"/>
          <c:w val="0.8640631561679790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FS Leo - O-C Diagr.</a:t>
            </a:r>
          </a:p>
        </c:rich>
      </c:tx>
      <c:layout>
        <c:manualLayout>
          <c:xMode val="edge"/>
          <c:yMode val="edge"/>
          <c:x val="0.35902295107848359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05278857494252"/>
          <c:y val="0.15"/>
          <c:w val="0.77067739907391686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Hipparcos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6189.5</c:v>
                </c:pt>
                <c:pt idx="2">
                  <c:v>6820</c:v>
                </c:pt>
                <c:pt idx="3">
                  <c:v>8364</c:v>
                </c:pt>
                <c:pt idx="4">
                  <c:v>8366</c:v>
                </c:pt>
                <c:pt idx="5">
                  <c:v>8432</c:v>
                </c:pt>
                <c:pt idx="6">
                  <c:v>8456</c:v>
                </c:pt>
                <c:pt idx="7">
                  <c:v>8515</c:v>
                </c:pt>
                <c:pt idx="8">
                  <c:v>8528</c:v>
                </c:pt>
                <c:pt idx="9">
                  <c:v>8532.5</c:v>
                </c:pt>
                <c:pt idx="10">
                  <c:v>9173.5</c:v>
                </c:pt>
                <c:pt idx="11">
                  <c:v>9184.5</c:v>
                </c:pt>
                <c:pt idx="12">
                  <c:v>9185</c:v>
                </c:pt>
                <c:pt idx="13">
                  <c:v>9187</c:v>
                </c:pt>
                <c:pt idx="14">
                  <c:v>10027</c:v>
                </c:pt>
              </c:numCache>
            </c:numRef>
          </c:xVal>
          <c:yVal>
            <c:numRef>
              <c:f>'A (old)'!$H$21:$H$992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56-408F-8F5D-CD8B691AA637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(old)'!$D$21:$D$992</c:f>
                <c:numCache>
                  <c:formatCode>General</c:formatCode>
                  <c:ptCount val="972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 (old)'!$D$21:$D$992</c:f>
                <c:numCache>
                  <c:formatCode>General</c:formatCode>
                  <c:ptCount val="972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6189.5</c:v>
                </c:pt>
                <c:pt idx="2">
                  <c:v>6820</c:v>
                </c:pt>
                <c:pt idx="3">
                  <c:v>8364</c:v>
                </c:pt>
                <c:pt idx="4">
                  <c:v>8366</c:v>
                </c:pt>
                <c:pt idx="5">
                  <c:v>8432</c:v>
                </c:pt>
                <c:pt idx="6">
                  <c:v>8456</c:v>
                </c:pt>
                <c:pt idx="7">
                  <c:v>8515</c:v>
                </c:pt>
                <c:pt idx="8">
                  <c:v>8528</c:v>
                </c:pt>
                <c:pt idx="9">
                  <c:v>8532.5</c:v>
                </c:pt>
                <c:pt idx="10">
                  <c:v>9173.5</c:v>
                </c:pt>
                <c:pt idx="11">
                  <c:v>9184.5</c:v>
                </c:pt>
                <c:pt idx="12">
                  <c:v>9185</c:v>
                </c:pt>
                <c:pt idx="13">
                  <c:v>9187</c:v>
                </c:pt>
                <c:pt idx="14">
                  <c:v>10027</c:v>
                </c:pt>
              </c:numCache>
            </c:numRef>
          </c:xVal>
          <c:yVal>
            <c:numRef>
              <c:f>'A (old)'!$I$21:$I$992</c:f>
              <c:numCache>
                <c:formatCode>General</c:formatCode>
                <c:ptCount val="972"/>
                <c:pt idx="1">
                  <c:v>4.5954769957461394E-3</c:v>
                </c:pt>
                <c:pt idx="2">
                  <c:v>3.5553199995774776E-3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56-408F-8F5D-CD8B691AA637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6189.5</c:v>
                </c:pt>
                <c:pt idx="2">
                  <c:v>6820</c:v>
                </c:pt>
                <c:pt idx="3">
                  <c:v>8364</c:v>
                </c:pt>
                <c:pt idx="4">
                  <c:v>8366</c:v>
                </c:pt>
                <c:pt idx="5">
                  <c:v>8432</c:v>
                </c:pt>
                <c:pt idx="6">
                  <c:v>8456</c:v>
                </c:pt>
                <c:pt idx="7">
                  <c:v>8515</c:v>
                </c:pt>
                <c:pt idx="8">
                  <c:v>8528</c:v>
                </c:pt>
                <c:pt idx="9">
                  <c:v>8532.5</c:v>
                </c:pt>
                <c:pt idx="10">
                  <c:v>9173.5</c:v>
                </c:pt>
                <c:pt idx="11">
                  <c:v>9184.5</c:v>
                </c:pt>
                <c:pt idx="12">
                  <c:v>9185</c:v>
                </c:pt>
                <c:pt idx="13">
                  <c:v>9187</c:v>
                </c:pt>
                <c:pt idx="14">
                  <c:v>10027</c:v>
                </c:pt>
              </c:numCache>
            </c:numRef>
          </c:xVal>
          <c:yVal>
            <c:numRef>
              <c:f>'A (old)'!$J$21:$J$992</c:f>
              <c:numCache>
                <c:formatCode>General</c:formatCode>
                <c:ptCount val="972"/>
                <c:pt idx="3">
                  <c:v>-2.90693600254599E-3</c:v>
                </c:pt>
                <c:pt idx="4">
                  <c:v>-2.6410840000608005E-3</c:v>
                </c:pt>
                <c:pt idx="5">
                  <c:v>-5.2679680011351593E-3</c:v>
                </c:pt>
                <c:pt idx="6">
                  <c:v>-5.7774400193011388E-4</c:v>
                </c:pt>
                <c:pt idx="7">
                  <c:v>-3.435110003920272E-3</c:v>
                </c:pt>
                <c:pt idx="8">
                  <c:v>-3.307072001916822E-3</c:v>
                </c:pt>
                <c:pt idx="9">
                  <c:v>-2.1589050011243671E-3</c:v>
                </c:pt>
                <c:pt idx="10">
                  <c:v>1.2466609914554283E-3</c:v>
                </c:pt>
                <c:pt idx="11">
                  <c:v>3.0884700390743092E-4</c:v>
                </c:pt>
                <c:pt idx="12">
                  <c:v>-1.7746899975463748E-3</c:v>
                </c:pt>
                <c:pt idx="13">
                  <c:v>-2.4088380014291033E-3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56-408F-8F5D-CD8B691AA637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Krajci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6189.5</c:v>
                </c:pt>
                <c:pt idx="2">
                  <c:v>6820</c:v>
                </c:pt>
                <c:pt idx="3">
                  <c:v>8364</c:v>
                </c:pt>
                <c:pt idx="4">
                  <c:v>8366</c:v>
                </c:pt>
                <c:pt idx="5">
                  <c:v>8432</c:v>
                </c:pt>
                <c:pt idx="6">
                  <c:v>8456</c:v>
                </c:pt>
                <c:pt idx="7">
                  <c:v>8515</c:v>
                </c:pt>
                <c:pt idx="8">
                  <c:v>8528</c:v>
                </c:pt>
                <c:pt idx="9">
                  <c:v>8532.5</c:v>
                </c:pt>
                <c:pt idx="10">
                  <c:v>9173.5</c:v>
                </c:pt>
                <c:pt idx="11">
                  <c:v>9184.5</c:v>
                </c:pt>
                <c:pt idx="12">
                  <c:v>9185</c:v>
                </c:pt>
                <c:pt idx="13">
                  <c:v>9187</c:v>
                </c:pt>
                <c:pt idx="14">
                  <c:v>10027</c:v>
                </c:pt>
              </c:numCache>
            </c:numRef>
          </c:xVal>
          <c:yVal>
            <c:numRef>
              <c:f>'A (old)'!$K$21:$K$992</c:f>
              <c:numCache>
                <c:formatCode>General</c:formatCode>
                <c:ptCount val="972"/>
                <c:pt idx="14">
                  <c:v>-1.3509979980881326E-3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56-408F-8F5D-CD8B691AA637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6189.5</c:v>
                </c:pt>
                <c:pt idx="2">
                  <c:v>6820</c:v>
                </c:pt>
                <c:pt idx="3">
                  <c:v>8364</c:v>
                </c:pt>
                <c:pt idx="4">
                  <c:v>8366</c:v>
                </c:pt>
                <c:pt idx="5">
                  <c:v>8432</c:v>
                </c:pt>
                <c:pt idx="6">
                  <c:v>8456</c:v>
                </c:pt>
                <c:pt idx="7">
                  <c:v>8515</c:v>
                </c:pt>
                <c:pt idx="8">
                  <c:v>8528</c:v>
                </c:pt>
                <c:pt idx="9">
                  <c:v>8532.5</c:v>
                </c:pt>
                <c:pt idx="10">
                  <c:v>9173.5</c:v>
                </c:pt>
                <c:pt idx="11">
                  <c:v>9184.5</c:v>
                </c:pt>
                <c:pt idx="12">
                  <c:v>9185</c:v>
                </c:pt>
                <c:pt idx="13">
                  <c:v>9187</c:v>
                </c:pt>
                <c:pt idx="14">
                  <c:v>10027</c:v>
                </c:pt>
              </c:numCache>
            </c:numRef>
          </c:xVal>
          <c:yVal>
            <c:numRef>
              <c:f>'A (old)'!$L$21:$L$992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56-408F-8F5D-CD8B691AA637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6189.5</c:v>
                </c:pt>
                <c:pt idx="2">
                  <c:v>6820</c:v>
                </c:pt>
                <c:pt idx="3">
                  <c:v>8364</c:v>
                </c:pt>
                <c:pt idx="4">
                  <c:v>8366</c:v>
                </c:pt>
                <c:pt idx="5">
                  <c:v>8432</c:v>
                </c:pt>
                <c:pt idx="6">
                  <c:v>8456</c:v>
                </c:pt>
                <c:pt idx="7">
                  <c:v>8515</c:v>
                </c:pt>
                <c:pt idx="8">
                  <c:v>8528</c:v>
                </c:pt>
                <c:pt idx="9">
                  <c:v>8532.5</c:v>
                </c:pt>
                <c:pt idx="10">
                  <c:v>9173.5</c:v>
                </c:pt>
                <c:pt idx="11">
                  <c:v>9184.5</c:v>
                </c:pt>
                <c:pt idx="12">
                  <c:v>9185</c:v>
                </c:pt>
                <c:pt idx="13">
                  <c:v>9187</c:v>
                </c:pt>
                <c:pt idx="14">
                  <c:v>10027</c:v>
                </c:pt>
              </c:numCache>
            </c:numRef>
          </c:xVal>
          <c:yVal>
            <c:numRef>
              <c:f>'A (old)'!$M$21:$M$992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56-408F-8F5D-CD8B691AA637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6189.5</c:v>
                </c:pt>
                <c:pt idx="2">
                  <c:v>6820</c:v>
                </c:pt>
                <c:pt idx="3">
                  <c:v>8364</c:v>
                </c:pt>
                <c:pt idx="4">
                  <c:v>8366</c:v>
                </c:pt>
                <c:pt idx="5">
                  <c:v>8432</c:v>
                </c:pt>
                <c:pt idx="6">
                  <c:v>8456</c:v>
                </c:pt>
                <c:pt idx="7">
                  <c:v>8515</c:v>
                </c:pt>
                <c:pt idx="8">
                  <c:v>8528</c:v>
                </c:pt>
                <c:pt idx="9">
                  <c:v>8532.5</c:v>
                </c:pt>
                <c:pt idx="10">
                  <c:v>9173.5</c:v>
                </c:pt>
                <c:pt idx="11">
                  <c:v>9184.5</c:v>
                </c:pt>
                <c:pt idx="12">
                  <c:v>9185</c:v>
                </c:pt>
                <c:pt idx="13">
                  <c:v>9187</c:v>
                </c:pt>
                <c:pt idx="14">
                  <c:v>10027</c:v>
                </c:pt>
              </c:numCache>
            </c:numRef>
          </c:xVal>
          <c:yVal>
            <c:numRef>
              <c:f>'A (old)'!$N$21:$N$992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56-408F-8F5D-CD8B691AA637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6189.5</c:v>
                </c:pt>
                <c:pt idx="2">
                  <c:v>6820</c:v>
                </c:pt>
                <c:pt idx="3">
                  <c:v>8364</c:v>
                </c:pt>
                <c:pt idx="4">
                  <c:v>8366</c:v>
                </c:pt>
                <c:pt idx="5">
                  <c:v>8432</c:v>
                </c:pt>
                <c:pt idx="6">
                  <c:v>8456</c:v>
                </c:pt>
                <c:pt idx="7">
                  <c:v>8515</c:v>
                </c:pt>
                <c:pt idx="8">
                  <c:v>8528</c:v>
                </c:pt>
                <c:pt idx="9">
                  <c:v>8532.5</c:v>
                </c:pt>
                <c:pt idx="10">
                  <c:v>9173.5</c:v>
                </c:pt>
                <c:pt idx="11">
                  <c:v>9184.5</c:v>
                </c:pt>
                <c:pt idx="12">
                  <c:v>9185</c:v>
                </c:pt>
                <c:pt idx="13">
                  <c:v>9187</c:v>
                </c:pt>
                <c:pt idx="14">
                  <c:v>10027</c:v>
                </c:pt>
              </c:numCache>
            </c:numRef>
          </c:xVal>
          <c:yVal>
            <c:numRef>
              <c:f>'A (old)'!$O$21:$O$992</c:f>
              <c:numCache>
                <c:formatCode>General</c:formatCode>
                <c:ptCount val="972"/>
                <c:pt idx="0">
                  <c:v>1.7811706801754131E-3</c:v>
                </c:pt>
                <c:pt idx="1">
                  <c:v>-4.4782978276887279E-4</c:v>
                </c:pt>
                <c:pt idx="2">
                  <c:v>-6.748892854567107E-4</c:v>
                </c:pt>
                <c:pt idx="3">
                  <c:v>-1.2309239756232795E-3</c:v>
                </c:pt>
                <c:pt idx="4">
                  <c:v>-1.2316442278126145E-3</c:v>
                </c:pt>
                <c:pt idx="5">
                  <c:v>-1.2554125500606674E-3</c:v>
                </c:pt>
                <c:pt idx="6">
                  <c:v>-1.2640555763326867E-3</c:v>
                </c:pt>
                <c:pt idx="7">
                  <c:v>-1.2853030159180672E-3</c:v>
                </c:pt>
                <c:pt idx="8">
                  <c:v>-1.2899846551487442E-3</c:v>
                </c:pt>
                <c:pt idx="9">
                  <c:v>-1.2916052225747478E-3</c:v>
                </c:pt>
                <c:pt idx="10">
                  <c:v>-1.522446049256594E-3</c:v>
                </c:pt>
                <c:pt idx="11">
                  <c:v>-1.526407436297936E-3</c:v>
                </c:pt>
                <c:pt idx="12">
                  <c:v>-1.5265874993452696E-3</c:v>
                </c:pt>
                <c:pt idx="13">
                  <c:v>-1.5273077515346046E-3</c:v>
                </c:pt>
                <c:pt idx="14">
                  <c:v>-1.8298136710552767E-3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56-408F-8F5D-CD8B691AA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201488"/>
        <c:axId val="1"/>
      </c:scatterChart>
      <c:valAx>
        <c:axId val="559201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07558265743093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1278195488719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201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5789473684210523E-2"/>
          <c:y val="0.91874999999999996"/>
          <c:w val="0.99248120300751874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9524</xdr:rowOff>
    </xdr:from>
    <xdr:to>
      <xdr:col>17</xdr:col>
      <xdr:colOff>419100</xdr:colOff>
      <xdr:row>18</xdr:row>
      <xdr:rowOff>38099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8D2564F3-DE12-34CF-C3DE-9D6DF00C7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542925</xdr:colOff>
      <xdr:row>0</xdr:row>
      <xdr:rowOff>19050</xdr:rowOff>
    </xdr:from>
    <xdr:to>
      <xdr:col>27</xdr:col>
      <xdr:colOff>123825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FBE043-AB2C-441E-9EEF-DD5830892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13</xdr:col>
      <xdr:colOff>485775</xdr:colOff>
      <xdr:row>18</xdr:row>
      <xdr:rowOff>28575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27E9823F-5010-39D0-657C-4345A5A29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48" TargetMode="External"/><Relationship Id="rId13" Type="http://schemas.openxmlformats.org/officeDocument/2006/relationships/hyperlink" Target="http://vsolj.cetus-net.org/no44.pdf" TargetMode="External"/><Relationship Id="rId18" Type="http://schemas.openxmlformats.org/officeDocument/2006/relationships/hyperlink" Target="http://www.konkoly.hu/cgi-bin/IBVS?6007" TargetMode="External"/><Relationship Id="rId3" Type="http://schemas.openxmlformats.org/officeDocument/2006/relationships/hyperlink" Target="http://www.konkoly.hu/cgi-bin/IBVS?5548" TargetMode="External"/><Relationship Id="rId21" Type="http://schemas.openxmlformats.org/officeDocument/2006/relationships/hyperlink" Target="http://www.bav-astro.de/sfs/BAVM_link.php?BAVMnr=228" TargetMode="External"/><Relationship Id="rId7" Type="http://schemas.openxmlformats.org/officeDocument/2006/relationships/hyperlink" Target="http://www.konkoly.hu/cgi-bin/IBVS?5548" TargetMode="External"/><Relationship Id="rId12" Type="http://schemas.openxmlformats.org/officeDocument/2006/relationships/hyperlink" Target="http://www.konkoly.hu/cgi-bin/IBVS?5592" TargetMode="External"/><Relationship Id="rId17" Type="http://schemas.openxmlformats.org/officeDocument/2006/relationships/hyperlink" Target="http://var.astro.cz/oejv/issues/oejv0107.pdf" TargetMode="External"/><Relationship Id="rId2" Type="http://schemas.openxmlformats.org/officeDocument/2006/relationships/hyperlink" Target="http://www.konkoly.hu/cgi-bin/IBVS?5548" TargetMode="External"/><Relationship Id="rId16" Type="http://schemas.openxmlformats.org/officeDocument/2006/relationships/hyperlink" Target="http://var.astro.cz/oejv/issues/oejv0107.pdf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548" TargetMode="External"/><Relationship Id="rId6" Type="http://schemas.openxmlformats.org/officeDocument/2006/relationships/hyperlink" Target="http://www.konkoly.hu/cgi-bin/IBVS?5548" TargetMode="External"/><Relationship Id="rId11" Type="http://schemas.openxmlformats.org/officeDocument/2006/relationships/hyperlink" Target="http://www.konkoly.hu/cgi-bin/IBVS?5548" TargetMode="External"/><Relationship Id="rId5" Type="http://schemas.openxmlformats.org/officeDocument/2006/relationships/hyperlink" Target="http://www.konkoly.hu/cgi-bin/IBVS?5548" TargetMode="External"/><Relationship Id="rId15" Type="http://schemas.openxmlformats.org/officeDocument/2006/relationships/hyperlink" Target="http://var.astro.cz/oejv/issues/oejv0107.pdf" TargetMode="External"/><Relationship Id="rId10" Type="http://schemas.openxmlformats.org/officeDocument/2006/relationships/hyperlink" Target="http://www.konkoly.hu/cgi-bin/IBVS?5548" TargetMode="External"/><Relationship Id="rId19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konkoly.hu/cgi-bin/IBVS?5548" TargetMode="External"/><Relationship Id="rId9" Type="http://schemas.openxmlformats.org/officeDocument/2006/relationships/hyperlink" Target="http://www.konkoly.hu/cgi-bin/IBVS?5548" TargetMode="External"/><Relationship Id="rId14" Type="http://schemas.openxmlformats.org/officeDocument/2006/relationships/hyperlink" Target="http://vsolj.cetus-net.org/no44.pdf" TargetMode="External"/><Relationship Id="rId22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0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95" customHeight="1" x14ac:dyDescent="0.2"/>
  <cols>
    <col min="1" max="1" width="14.42578125" style="53" customWidth="1"/>
    <col min="2" max="2" width="5.140625" style="53" customWidth="1"/>
    <col min="3" max="3" width="11.85546875" style="53" customWidth="1"/>
    <col min="4" max="4" width="9.42578125" style="53" customWidth="1"/>
    <col min="5" max="5" width="9.85546875" style="53" customWidth="1"/>
    <col min="6" max="6" width="16.85546875" style="53" customWidth="1"/>
    <col min="7" max="7" width="8.140625" style="53" customWidth="1"/>
    <col min="8" max="14" width="8.5703125" style="53" customWidth="1"/>
    <col min="15" max="15" width="8" style="53" customWidth="1"/>
    <col min="16" max="16" width="7.7109375" style="53" customWidth="1"/>
    <col min="17" max="17" width="9.85546875" style="53" customWidth="1"/>
    <col min="18" max="18" width="9.140625" style="53" customWidth="1"/>
    <col min="19" max="16384" width="10.28515625" style="53"/>
  </cols>
  <sheetData>
    <row r="1" spans="1:6" customFormat="1" ht="20.25" x14ac:dyDescent="0.3">
      <c r="A1" s="1" t="s">
        <v>50</v>
      </c>
      <c r="D1" s="11"/>
    </row>
    <row r="2" spans="1:6" ht="12.95" customHeight="1" x14ac:dyDescent="0.2">
      <c r="A2" s="53" t="s">
        <v>26</v>
      </c>
      <c r="B2" s="53" t="s">
        <v>27</v>
      </c>
    </row>
    <row r="3" spans="1:6" ht="12.95" customHeight="1" thickBot="1" x14ac:dyDescent="0.25"/>
    <row r="4" spans="1:6" ht="12.95" customHeight="1" thickTop="1" thickBot="1" x14ac:dyDescent="0.25">
      <c r="A4" s="54" t="s">
        <v>0</v>
      </c>
      <c r="C4" s="55">
        <v>29880.74</v>
      </c>
      <c r="D4" s="56">
        <v>0.93510040000000005</v>
      </c>
    </row>
    <row r="5" spans="1:6" ht="12.95" customHeight="1" thickTop="1" x14ac:dyDescent="0.2">
      <c r="A5" s="57" t="s">
        <v>47</v>
      </c>
      <c r="C5" s="58">
        <v>-9.5</v>
      </c>
      <c r="D5" s="53" t="s">
        <v>48</v>
      </c>
    </row>
    <row r="6" spans="1:6" ht="12.95" customHeight="1" x14ac:dyDescent="0.2">
      <c r="A6" s="54" t="s">
        <v>1</v>
      </c>
    </row>
    <row r="7" spans="1:6" ht="12.95" customHeight="1" x14ac:dyDescent="0.2">
      <c r="A7" s="53" t="s">
        <v>2</v>
      </c>
      <c r="C7" s="53">
        <v>48500.351000000002</v>
      </c>
      <c r="D7" s="81" t="s">
        <v>173</v>
      </c>
    </row>
    <row r="8" spans="1:6" ht="12.95" customHeight="1" x14ac:dyDescent="0.2">
      <c r="A8" s="53" t="s">
        <v>3</v>
      </c>
      <c r="C8" s="53">
        <v>0.45697100000000002</v>
      </c>
      <c r="D8" s="81" t="s">
        <v>173</v>
      </c>
    </row>
    <row r="9" spans="1:6" ht="12.95" customHeight="1" x14ac:dyDescent="0.2">
      <c r="A9" s="59" t="s">
        <v>59</v>
      </c>
      <c r="B9" s="60">
        <v>36</v>
      </c>
      <c r="C9" s="61" t="str">
        <f>"F"&amp;B9</f>
        <v>F36</v>
      </c>
      <c r="D9" s="15" t="str">
        <f>"G"&amp;B9</f>
        <v>G36</v>
      </c>
    </row>
    <row r="10" spans="1:6" ht="12.95" customHeight="1" thickBot="1" x14ac:dyDescent="0.25">
      <c r="C10" s="62" t="s">
        <v>20</v>
      </c>
      <c r="D10" s="62" t="s">
        <v>21</v>
      </c>
    </row>
    <row r="11" spans="1:6" ht="12.95" customHeight="1" x14ac:dyDescent="0.2">
      <c r="A11" s="53" t="s">
        <v>16</v>
      </c>
      <c r="C11" s="15">
        <f ca="1">INTERCEPT(INDIRECT($D$9):G988,INDIRECT($C$9):F988)</f>
        <v>5.401151268890611E-3</v>
      </c>
      <c r="D11" s="63"/>
    </row>
    <row r="12" spans="1:6" ht="12.95" customHeight="1" x14ac:dyDescent="0.2">
      <c r="A12" s="53" t="s">
        <v>17</v>
      </c>
      <c r="C12" s="15">
        <f ca="1">SLOPE(INDIRECT($D$9):G988,INDIRECT($C$9):F988)</f>
        <v>-4.7711247264640166E-6</v>
      </c>
      <c r="D12" s="63"/>
    </row>
    <row r="13" spans="1:6" ht="12.95" customHeight="1" x14ac:dyDescent="0.2">
      <c r="A13" s="53" t="s">
        <v>19</v>
      </c>
      <c r="C13" s="63" t="s">
        <v>14</v>
      </c>
    </row>
    <row r="15" spans="1:6" ht="12.95" customHeight="1" x14ac:dyDescent="0.2">
      <c r="A15" s="64" t="s">
        <v>18</v>
      </c>
      <c r="C15" s="65">
        <f ca="1">(C7+C11)+(C8+C12)*INT(MAX(F21:F3529))</f>
        <v>59309.435578966993</v>
      </c>
      <c r="E15" s="66" t="s">
        <v>61</v>
      </c>
      <c r="F15" s="58">
        <v>1</v>
      </c>
    </row>
    <row r="16" spans="1:6" ht="12.95" customHeight="1" x14ac:dyDescent="0.2">
      <c r="A16" s="54" t="s">
        <v>4</v>
      </c>
      <c r="C16" s="67">
        <f ca="1">+C8+C12</f>
        <v>0.45696622887527355</v>
      </c>
      <c r="E16" s="66" t="s">
        <v>44</v>
      </c>
      <c r="F16" s="68">
        <f ca="1">NOW()+15018.5+$C$5/24</f>
        <v>60357.77274699074</v>
      </c>
    </row>
    <row r="17" spans="1:21" ht="12.95" customHeight="1" thickBot="1" x14ac:dyDescent="0.25">
      <c r="A17" s="66" t="s">
        <v>43</v>
      </c>
      <c r="C17" s="53">
        <f>COUNT(C21:C2187)</f>
        <v>56</v>
      </c>
      <c r="E17" s="66" t="s">
        <v>62</v>
      </c>
      <c r="F17" s="68">
        <f ca="1">ROUND(2*(F16-$C$7)/$C$8,0)/2+F15</f>
        <v>25949</v>
      </c>
    </row>
    <row r="18" spans="1:21" ht="12.95" customHeight="1" thickTop="1" thickBot="1" x14ac:dyDescent="0.25">
      <c r="A18" s="54" t="s">
        <v>5</v>
      </c>
      <c r="C18" s="55">
        <f ca="1">+C15</f>
        <v>59309.435578966993</v>
      </c>
      <c r="D18" s="56">
        <f ca="1">+C16</f>
        <v>0.45696622887527355</v>
      </c>
      <c r="E18" s="66" t="s">
        <v>46</v>
      </c>
      <c r="F18" s="15">
        <f ca="1">ROUND(2*(F16-$C$15)/$C$16,0)/2+F15</f>
        <v>2295</v>
      </c>
    </row>
    <row r="19" spans="1:21" ht="12.95" customHeight="1" thickTop="1" x14ac:dyDescent="0.2">
      <c r="E19" s="66" t="s">
        <v>45</v>
      </c>
      <c r="F19" s="69">
        <f ca="1">+$C$15+$C$16*F18-15018.5-$C$5/24</f>
        <v>45340.068907569083</v>
      </c>
    </row>
    <row r="20" spans="1:21" ht="12.95" customHeight="1" thickBot="1" x14ac:dyDescent="0.25">
      <c r="A20" s="62" t="s">
        <v>6</v>
      </c>
      <c r="B20" s="62" t="s">
        <v>7</v>
      </c>
      <c r="C20" s="62" t="s">
        <v>8</v>
      </c>
      <c r="D20" s="62" t="s">
        <v>13</v>
      </c>
      <c r="E20" s="62" t="s">
        <v>9</v>
      </c>
      <c r="F20" s="62" t="s">
        <v>10</v>
      </c>
      <c r="G20" s="62" t="s">
        <v>11</v>
      </c>
      <c r="H20" s="70" t="s">
        <v>75</v>
      </c>
      <c r="I20" s="70" t="s">
        <v>78</v>
      </c>
      <c r="J20" s="70" t="s">
        <v>72</v>
      </c>
      <c r="K20" s="70" t="s">
        <v>70</v>
      </c>
      <c r="L20" s="70" t="s">
        <v>169</v>
      </c>
      <c r="M20" s="70" t="s">
        <v>170</v>
      </c>
      <c r="N20" s="70" t="s">
        <v>25</v>
      </c>
      <c r="O20" s="70" t="s">
        <v>23</v>
      </c>
      <c r="P20" s="71" t="s">
        <v>22</v>
      </c>
      <c r="Q20" s="62" t="s">
        <v>15</v>
      </c>
      <c r="U20" s="72" t="s">
        <v>64</v>
      </c>
    </row>
    <row r="21" spans="1:21" ht="12.95" customHeight="1" x14ac:dyDescent="0.2">
      <c r="A21" s="53" t="s">
        <v>12</v>
      </c>
      <c r="B21" s="63"/>
      <c r="C21" s="77">
        <v>29880.74</v>
      </c>
      <c r="D21" s="77"/>
      <c r="E21" s="53">
        <f>+(C21-C$7)/C$8</f>
        <v>-40745.716905449146</v>
      </c>
      <c r="F21" s="53">
        <f>ROUND(2*E21,0)/2</f>
        <v>-40745.5</v>
      </c>
      <c r="G21" s="53">
        <f>+C21-(C$7+F21*C$8)</f>
        <v>-9.9119499998778338E-2</v>
      </c>
      <c r="H21" s="53">
        <f>+G21</f>
        <v>-9.9119499998778338E-2</v>
      </c>
      <c r="O21" s="53">
        <f ca="1">+C$11+C$12*F21</f>
        <v>0.19980301381103022</v>
      </c>
      <c r="Q21" s="76">
        <f>+C21-15018.5</f>
        <v>14862.240000000002</v>
      </c>
    </row>
    <row r="22" spans="1:21" ht="12.95" customHeight="1" x14ac:dyDescent="0.2">
      <c r="A22" s="53" t="s">
        <v>28</v>
      </c>
      <c r="B22" s="63"/>
      <c r="C22" s="77">
        <v>38643.491999999998</v>
      </c>
      <c r="D22" s="77"/>
      <c r="E22" s="53">
        <f>+(C22-C$7)/C$8</f>
        <v>-21569.988029874989</v>
      </c>
      <c r="F22" s="53">
        <f>ROUND(2*E22,0)/2</f>
        <v>-21570</v>
      </c>
      <c r="G22" s="53">
        <f>+C22-(C$7+F22*C$8)</f>
        <v>5.469999996421393E-3</v>
      </c>
      <c r="N22" s="53">
        <f>G22</f>
        <v>5.469999996421393E-3</v>
      </c>
      <c r="O22" s="53">
        <f ca="1">+C$11+C$12*F22</f>
        <v>0.10831431161871945</v>
      </c>
      <c r="Q22" s="76">
        <f>+C22-15018.5</f>
        <v>23624.991999999998</v>
      </c>
    </row>
    <row r="23" spans="1:21" ht="12.95" customHeight="1" x14ac:dyDescent="0.2">
      <c r="A23" s="81" t="s">
        <v>30</v>
      </c>
      <c r="B23" s="63"/>
      <c r="C23" s="77">
        <v>39033.447999999997</v>
      </c>
      <c r="D23" s="77" t="s">
        <v>14</v>
      </c>
      <c r="E23" s="53">
        <f>+(C23-C$7)/C$8</f>
        <v>-20716.638473776246</v>
      </c>
      <c r="F23" s="53">
        <f>ROUND(2*E23,0)/2</f>
        <v>-20716.5</v>
      </c>
      <c r="G23" s="53">
        <f>+C23-(C$7+F23*C$8)</f>
        <v>-6.3278500005253591E-2</v>
      </c>
      <c r="I23" s="53">
        <f>G23</f>
        <v>-6.3278500005253591E-2</v>
      </c>
      <c r="O23" s="53">
        <f ca="1">+C$11+C$12*F23</f>
        <v>0.10424215666468241</v>
      </c>
      <c r="Q23" s="76">
        <f>+C23-15018.5</f>
        <v>24014.947999999997</v>
      </c>
    </row>
    <row r="24" spans="1:21" ht="12.95" customHeight="1" x14ac:dyDescent="0.2">
      <c r="A24" s="81" t="s">
        <v>30</v>
      </c>
      <c r="B24" s="63"/>
      <c r="C24" s="77">
        <v>41598.442999999999</v>
      </c>
      <c r="D24" s="77" t="s">
        <v>14</v>
      </c>
      <c r="E24" s="53">
        <f>+(C24-C$7)/C$8</f>
        <v>-15103.601760286763</v>
      </c>
      <c r="F24" s="53">
        <f>ROUND(2*E24,0)/2</f>
        <v>-15103.5</v>
      </c>
      <c r="G24" s="53">
        <f>+C24-(C$7+F24*C$8)</f>
        <v>-4.6501500000886153E-2</v>
      </c>
      <c r="I24" s="53">
        <f>G24</f>
        <v>-4.6501500000886153E-2</v>
      </c>
      <c r="O24" s="53">
        <f ca="1">+C$11+C$12*F24</f>
        <v>7.7461833575039885E-2</v>
      </c>
      <c r="Q24" s="76">
        <f>+C24-15018.5</f>
        <v>26579.942999999999</v>
      </c>
    </row>
    <row r="25" spans="1:21" ht="12.95" customHeight="1" x14ac:dyDescent="0.2">
      <c r="A25" s="81" t="s">
        <v>30</v>
      </c>
      <c r="B25" s="63"/>
      <c r="C25" s="77">
        <v>41599.375999999997</v>
      </c>
      <c r="D25" s="77" t="s">
        <v>14</v>
      </c>
      <c r="E25" s="53">
        <f>+(C25-C$7)/C$8</f>
        <v>-15101.560055233276</v>
      </c>
      <c r="F25" s="53">
        <f>ROUND(2*E25,0)/2</f>
        <v>-15101.5</v>
      </c>
      <c r="G25" s="53">
        <f>+C25-(C$7+F25*C$8)</f>
        <v>-2.7443500002846122E-2</v>
      </c>
      <c r="I25" s="53">
        <f>G25</f>
        <v>-2.7443500002846122E-2</v>
      </c>
      <c r="O25" s="53">
        <f ca="1">+C$11+C$12*F25</f>
        <v>7.7452291325586953E-2</v>
      </c>
      <c r="Q25" s="76">
        <f>+C25-15018.5</f>
        <v>26580.875999999997</v>
      </c>
    </row>
    <row r="26" spans="1:21" ht="12.95" customHeight="1" x14ac:dyDescent="0.2">
      <c r="A26" s="81" t="s">
        <v>30</v>
      </c>
      <c r="B26" s="63"/>
      <c r="C26" s="77">
        <v>41600.307999999997</v>
      </c>
      <c r="D26" s="77" t="s">
        <v>14</v>
      </c>
      <c r="E26" s="53">
        <f>+(C26-C$7)/C$8</f>
        <v>-15099.520538502455</v>
      </c>
      <c r="F26" s="53">
        <f>ROUND(2*E26,0)/2</f>
        <v>-15099.5</v>
      </c>
      <c r="G26" s="53">
        <f>+C26-(C$7+F26*C$8)</f>
        <v>-9.3855000086477958E-3</v>
      </c>
      <c r="I26" s="53">
        <f>G26</f>
        <v>-9.3855000086477958E-3</v>
      </c>
      <c r="O26" s="53">
        <f ca="1">+C$11+C$12*F26</f>
        <v>7.7442749076134035E-2</v>
      </c>
      <c r="Q26" s="76">
        <f>+C26-15018.5</f>
        <v>26581.807999999997</v>
      </c>
    </row>
    <row r="27" spans="1:21" ht="12.95" customHeight="1" x14ac:dyDescent="0.2">
      <c r="A27" s="81" t="s">
        <v>30</v>
      </c>
      <c r="B27" s="63"/>
      <c r="C27" s="77">
        <v>41959.374000000003</v>
      </c>
      <c r="D27" s="77" t="s">
        <v>14</v>
      </c>
      <c r="E27" s="53">
        <f>+(C27-C$7)/C$8</f>
        <v>-14313.76826975891</v>
      </c>
      <c r="F27" s="53">
        <f>ROUND(2*E27,0)/2</f>
        <v>-14314</v>
      </c>
      <c r="G27" s="53">
        <f>+C27-(C$7+F27*C$8)</f>
        <v>0.10589400000026217</v>
      </c>
      <c r="I27" s="53">
        <f>G27</f>
        <v>0.10589400000026217</v>
      </c>
      <c r="O27" s="53">
        <f ca="1">+C$11+C$12*F27</f>
        <v>7.3695030603496539E-2</v>
      </c>
      <c r="Q27" s="76">
        <f>+C27-15018.5</f>
        <v>26940.874000000003</v>
      </c>
    </row>
    <row r="28" spans="1:21" ht="12.95" customHeight="1" x14ac:dyDescent="0.2">
      <c r="A28" s="81" t="s">
        <v>30</v>
      </c>
      <c r="B28" s="63"/>
      <c r="C28" s="77">
        <v>41960.324000000001</v>
      </c>
      <c r="D28" s="77" t="s">
        <v>14</v>
      </c>
      <c r="E28" s="53">
        <f>+(C28-C$7)/C$8</f>
        <v>-14311.68936321999</v>
      </c>
      <c r="F28" s="53">
        <f>ROUND(2*E28,0)/2</f>
        <v>-14311.5</v>
      </c>
      <c r="G28" s="53">
        <f>+C28-(C$7+F28*C$8)</f>
        <v>-8.6533500005316455E-2</v>
      </c>
      <c r="I28" s="53">
        <f>G28</f>
        <v>-8.6533500005316455E-2</v>
      </c>
      <c r="O28" s="53">
        <f ca="1">+C$11+C$12*F28</f>
        <v>7.3683102791680388E-2</v>
      </c>
      <c r="Q28" s="76">
        <f>+C28-15018.5</f>
        <v>26941.824000000001</v>
      </c>
    </row>
    <row r="29" spans="1:21" ht="12.95" customHeight="1" x14ac:dyDescent="0.2">
      <c r="A29" s="53" t="s">
        <v>29</v>
      </c>
      <c r="B29" s="63"/>
      <c r="C29" s="77">
        <v>42652.328000000001</v>
      </c>
      <c r="D29" s="77"/>
      <c r="E29" s="53">
        <f>+(C29-C$7)/C$8</f>
        <v>-12797.361320521435</v>
      </c>
      <c r="F29" s="53">
        <f>ROUND(2*E29,0)/2</f>
        <v>-12797.5</v>
      </c>
      <c r="G29" s="53">
        <f>+C29-(C$7+F29*C$8)</f>
        <v>6.3372500000696164E-2</v>
      </c>
      <c r="N29" s="53">
        <f>G29</f>
        <v>6.3372500000696164E-2</v>
      </c>
      <c r="O29" s="53">
        <f ca="1">+C$11+C$12*F29</f>
        <v>6.645961995581387E-2</v>
      </c>
      <c r="Q29" s="76">
        <f>+C29-15018.5</f>
        <v>27633.828000000001</v>
      </c>
    </row>
    <row r="30" spans="1:21" ht="12.95" customHeight="1" x14ac:dyDescent="0.2">
      <c r="A30" s="81" t="s">
        <v>30</v>
      </c>
      <c r="B30" s="63"/>
      <c r="C30" s="77">
        <v>47060.345500000003</v>
      </c>
      <c r="D30" s="77" t="s">
        <v>14</v>
      </c>
      <c r="E30" s="53">
        <f>+(C30-C$7)/C$8</f>
        <v>-3151.1966842534848</v>
      </c>
      <c r="F30" s="53">
        <f>ROUND(2*E30,0)/2</f>
        <v>-3151</v>
      </c>
      <c r="G30" s="53">
        <f>+C30-(C$7+F30*C$8)</f>
        <v>-8.987899999920046E-2</v>
      </c>
      <c r="I30" s="53">
        <f>G30</f>
        <v>-8.987899999920046E-2</v>
      </c>
      <c r="O30" s="53">
        <f ca="1">+C$11+C$12*F30</f>
        <v>2.0434965281978728E-2</v>
      </c>
      <c r="Q30" s="76">
        <f>+C30-15018.5</f>
        <v>32041.845500000003</v>
      </c>
    </row>
    <row r="31" spans="1:21" ht="12.95" customHeight="1" x14ac:dyDescent="0.2">
      <c r="A31" s="53" t="s">
        <v>30</v>
      </c>
      <c r="B31" s="63"/>
      <c r="C31" s="77">
        <v>47804.667000000001</v>
      </c>
      <c r="D31" s="77" t="s">
        <v>14</v>
      </c>
      <c r="E31" s="53">
        <f>+(C31-C$7)/C$8</f>
        <v>-1522.3810701335558</v>
      </c>
      <c r="F31" s="53">
        <f>ROUND(2*E31,0)/2</f>
        <v>-1522.5</v>
      </c>
      <c r="G31" s="53">
        <f>+C31-(C$7+F31*C$8)</f>
        <v>5.4347500001313165E-2</v>
      </c>
      <c r="I31" s="53">
        <f>G31</f>
        <v>5.4347500001313165E-2</v>
      </c>
      <c r="O31" s="53">
        <f ca="1">+C$11+C$12*F31</f>
        <v>1.2665188664932076E-2</v>
      </c>
      <c r="Q31" s="76">
        <f>+C31-15018.5</f>
        <v>32786.167000000001</v>
      </c>
    </row>
    <row r="32" spans="1:21" ht="12.95" customHeight="1" x14ac:dyDescent="0.2">
      <c r="A32" s="53" t="s">
        <v>31</v>
      </c>
      <c r="B32" s="63"/>
      <c r="C32" s="77">
        <v>47851.429700000001</v>
      </c>
      <c r="D32" s="77"/>
      <c r="E32" s="53">
        <f>+(C32-C$7)/C$8</f>
        <v>-1420.0491934936829</v>
      </c>
      <c r="F32" s="53">
        <f>ROUND(2*E32,0)/2</f>
        <v>-1420</v>
      </c>
      <c r="G32" s="53">
        <f>+C32-(C$7+F32*C$8)</f>
        <v>-2.2479999999632128E-2</v>
      </c>
      <c r="J32" s="53">
        <f>G32</f>
        <v>-2.2479999999632128E-2</v>
      </c>
      <c r="O32" s="53">
        <f ca="1">+C$11+C$12*F32</f>
        <v>1.2176148380469515E-2</v>
      </c>
      <c r="Q32" s="76">
        <f>+C32-15018.5</f>
        <v>32832.929700000001</v>
      </c>
    </row>
    <row r="33" spans="1:17" ht="12.95" customHeight="1" x14ac:dyDescent="0.2">
      <c r="A33" s="53" t="s">
        <v>32</v>
      </c>
      <c r="B33" s="63"/>
      <c r="C33" s="77">
        <v>48180.579299999998</v>
      </c>
      <c r="D33" s="77"/>
      <c r="E33" s="53">
        <f>+(C33-C$7)/C$8</f>
        <v>-699.76366115137455</v>
      </c>
      <c r="F33" s="53">
        <f>ROUND(2*E33,0)/2</f>
        <v>-700</v>
      </c>
      <c r="G33" s="53">
        <f>+C33-(C$7+F33*C$8)</f>
        <v>0.10799999999289867</v>
      </c>
      <c r="J33" s="53">
        <f>G33</f>
        <v>0.10799999999289867</v>
      </c>
      <c r="O33" s="53">
        <f ca="1">+C$11+C$12*F33</f>
        <v>8.7409385774154229E-3</v>
      </c>
      <c r="Q33" s="76">
        <f>+C33-15018.5</f>
        <v>33162.079299999998</v>
      </c>
    </row>
    <row r="34" spans="1:17" ht="12.95" customHeight="1" x14ac:dyDescent="0.2">
      <c r="A34" s="53" t="s">
        <v>32</v>
      </c>
      <c r="B34" s="63"/>
      <c r="C34" s="77">
        <v>48180.580300000001</v>
      </c>
      <c r="D34" s="77"/>
      <c r="E34" s="53">
        <f>+(C34-C$7)/C$8</f>
        <v>-699.76147282869363</v>
      </c>
      <c r="F34" s="53">
        <f>ROUND(2*E34,0)/2</f>
        <v>-700</v>
      </c>
      <c r="G34" s="53">
        <f>+C34-(C$7+F34*C$8)</f>
        <v>0.10899999999674037</v>
      </c>
      <c r="J34" s="53">
        <f>G34</f>
        <v>0.10899999999674037</v>
      </c>
      <c r="O34" s="53">
        <f ca="1">+C$11+C$12*F34</f>
        <v>8.7409385774154229E-3</v>
      </c>
      <c r="Q34" s="76">
        <f>+C34-15018.5</f>
        <v>33162.080300000001</v>
      </c>
    </row>
    <row r="35" spans="1:17" ht="12.95" customHeight="1" x14ac:dyDescent="0.2">
      <c r="A35" s="81" t="s">
        <v>30</v>
      </c>
      <c r="B35" s="63"/>
      <c r="C35" s="77">
        <v>48209.568899999998</v>
      </c>
      <c r="D35" s="77" t="s">
        <v>14</v>
      </c>
      <c r="E35" s="53">
        <f>+(C35-C$7)/C$8</f>
        <v>-636.32506220308073</v>
      </c>
      <c r="F35" s="53">
        <f>ROUND(2*E35,0)/2</f>
        <v>-636.5</v>
      </c>
      <c r="G35" s="53">
        <f>+C35-(C$7+F35*C$8)</f>
        <v>7.9941499992855825E-2</v>
      </c>
      <c r="I35" s="53">
        <f>G35</f>
        <v>7.9941499992855825E-2</v>
      </c>
      <c r="O35" s="53">
        <f ca="1">+C$11+C$12*F35</f>
        <v>8.4379721572849578E-3</v>
      </c>
      <c r="Q35" s="76">
        <f>+C35-15018.5</f>
        <v>33191.068899999998</v>
      </c>
    </row>
    <row r="36" spans="1:17" ht="12.95" customHeight="1" x14ac:dyDescent="0.2">
      <c r="A36" s="53" t="str">
        <f>$D$7</f>
        <v>VSX</v>
      </c>
      <c r="B36" s="63"/>
      <c r="C36" s="77">
        <f>$C$7</f>
        <v>48500.351000000002</v>
      </c>
      <c r="D36" s="77"/>
      <c r="E36" s="53">
        <f>+(C36-C$7)/C$8</f>
        <v>0</v>
      </c>
      <c r="F36" s="53">
        <f>ROUND(2*E36,0)/2</f>
        <v>0</v>
      </c>
      <c r="G36" s="80">
        <f>+C36-(C$7+F36*C$8)</f>
        <v>0</v>
      </c>
      <c r="K36" s="80">
        <f>G36</f>
        <v>0</v>
      </c>
      <c r="O36" s="53">
        <f ca="1">+C$11+C$12*F36</f>
        <v>5.401151268890611E-3</v>
      </c>
      <c r="Q36" s="76">
        <f>+C36-15018.5</f>
        <v>33481.851000000002</v>
      </c>
    </row>
    <row r="37" spans="1:17" ht="12.95" customHeight="1" x14ac:dyDescent="0.2">
      <c r="A37" s="53" t="s">
        <v>33</v>
      </c>
      <c r="B37" s="63"/>
      <c r="C37" s="77">
        <v>50013.370999999999</v>
      </c>
      <c r="D37" s="77">
        <v>2.2000000000000001E-3</v>
      </c>
      <c r="E37" s="53">
        <f>+(C37-C$7)/C$8</f>
        <v>3310.9759700287254</v>
      </c>
      <c r="F37" s="53">
        <f>ROUND(2*E37,0)/2</f>
        <v>3311</v>
      </c>
      <c r="G37" s="53">
        <f>+C37-(C$7+F37*C$8)</f>
        <v>-1.0981000006722752E-2</v>
      </c>
      <c r="I37" s="53">
        <f>G37</f>
        <v>-1.0981000006722752E-2</v>
      </c>
      <c r="O37" s="53">
        <f ca="1">+C$11+C$12*F37</f>
        <v>-1.0396042700431748E-2</v>
      </c>
      <c r="Q37" s="76">
        <f>+C37-15018.5</f>
        <v>34994.870999999999</v>
      </c>
    </row>
    <row r="38" spans="1:17" ht="12.95" customHeight="1" x14ac:dyDescent="0.2">
      <c r="A38" s="78" t="s">
        <v>34</v>
      </c>
      <c r="B38" s="39"/>
      <c r="C38" s="38">
        <v>51468.3842</v>
      </c>
      <c r="D38" s="38">
        <v>5.0000000000000001E-4</v>
      </c>
      <c r="E38" s="53">
        <f>+(C38-C$7)/C$8</f>
        <v>6495.014344455114</v>
      </c>
      <c r="F38" s="53">
        <f>ROUND(2*E38,0)/2</f>
        <v>6495</v>
      </c>
      <c r="G38" s="53">
        <f>+C38-(C$7+F38*C$8)</f>
        <v>6.5549999999348074E-3</v>
      </c>
      <c r="I38" s="53">
        <f>G38</f>
        <v>6.5549999999348074E-3</v>
      </c>
      <c r="O38" s="53">
        <f ca="1">+C$11+C$12*F38</f>
        <v>-2.5587303829493178E-2</v>
      </c>
      <c r="Q38" s="76">
        <f>+C38-15018.5</f>
        <v>36449.8842</v>
      </c>
    </row>
    <row r="39" spans="1:17" ht="12.95" customHeight="1" x14ac:dyDescent="0.2">
      <c r="A39" s="78" t="s">
        <v>41</v>
      </c>
      <c r="B39" s="39"/>
      <c r="C39" s="38">
        <v>51770.416700000002</v>
      </c>
      <c r="D39" s="38">
        <v>5.9999999999999995E-4</v>
      </c>
      <c r="E39" s="53">
        <f>+(C39-C$7)/C$8</f>
        <v>7155.9589120534984</v>
      </c>
      <c r="F39" s="53">
        <f>ROUND(2*E39,0)/2</f>
        <v>7156</v>
      </c>
      <c r="G39" s="53">
        <f>+C39-(C$7+F39*C$8)</f>
        <v>-1.8775999997160397E-2</v>
      </c>
      <c r="I39" s="53">
        <f>+C39-(C$7+F39*C$8)</f>
        <v>-1.8775999997160397E-2</v>
      </c>
      <c r="O39" s="53">
        <f ca="1">+C$11+C$12*F39</f>
        <v>-2.8741017273685894E-2</v>
      </c>
      <c r="Q39" s="76">
        <f>+C39-15018.5</f>
        <v>36751.916700000002</v>
      </c>
    </row>
    <row r="40" spans="1:17" ht="12.95" customHeight="1" x14ac:dyDescent="0.2">
      <c r="A40" s="78" t="s">
        <v>35</v>
      </c>
      <c r="B40" s="39" t="s">
        <v>36</v>
      </c>
      <c r="C40" s="38">
        <v>52218.331200000001</v>
      </c>
      <c r="D40" s="38">
        <v>1.2999999999999999E-3</v>
      </c>
      <c r="E40" s="53">
        <f>+(C40-C$7)/C$8</f>
        <v>8136.1403677695043</v>
      </c>
      <c r="F40" s="53">
        <f>ROUND(2*E40,0)/2</f>
        <v>8136</v>
      </c>
      <c r="G40" s="53">
        <f>+C40-(C$7+F40*C$8)</f>
        <v>6.4143999996304046E-2</v>
      </c>
      <c r="K40" s="53">
        <f>G40</f>
        <v>6.4143999996304046E-2</v>
      </c>
      <c r="O40" s="53">
        <f ca="1">+C$11+C$12*F40</f>
        <v>-3.3416719505620626E-2</v>
      </c>
      <c r="Q40" s="76">
        <f>+C40-15018.5</f>
        <v>37199.831200000001</v>
      </c>
    </row>
    <row r="41" spans="1:17" ht="12.95" customHeight="1" x14ac:dyDescent="0.2">
      <c r="A41" s="78" t="s">
        <v>35</v>
      </c>
      <c r="B41" s="39" t="s">
        <v>36</v>
      </c>
      <c r="C41" s="38">
        <v>52218.331200000001</v>
      </c>
      <c r="D41" s="38">
        <v>1.2999999999999999E-3</v>
      </c>
      <c r="E41" s="79">
        <f>+(C41-C$7)/C$8</f>
        <v>8136.1403677695043</v>
      </c>
      <c r="F41" s="53">
        <f>ROUND(2*E41,0)/2</f>
        <v>8136</v>
      </c>
      <c r="G41" s="80">
        <f>+C41-(C$7+F41*C$8)</f>
        <v>6.4143999996304046E-2</v>
      </c>
      <c r="K41" s="80">
        <f>G41</f>
        <v>6.4143999996304046E-2</v>
      </c>
      <c r="O41" s="53">
        <f ca="1">+C$11+C$12*F41</f>
        <v>-3.3416719505620626E-2</v>
      </c>
      <c r="Q41" s="76">
        <f>+C41-15018.5</f>
        <v>37199.831200000001</v>
      </c>
    </row>
    <row r="42" spans="1:17" ht="12.95" customHeight="1" x14ac:dyDescent="0.2">
      <c r="A42" s="78" t="s">
        <v>35</v>
      </c>
      <c r="B42" s="39" t="s">
        <v>37</v>
      </c>
      <c r="C42" s="38">
        <v>52224.413999999997</v>
      </c>
      <c r="D42" s="38">
        <v>4.0000000000000001E-3</v>
      </c>
      <c r="E42" s="53">
        <f>+(C42-C$7)/C$8</f>
        <v>8149.4514969221118</v>
      </c>
      <c r="F42" s="53">
        <f>ROUND(2*E42,0)/2</f>
        <v>8149.5</v>
      </c>
      <c r="G42" s="53">
        <f>+C42-(C$7+F42*C$8)</f>
        <v>-2.216450000560144E-2</v>
      </c>
      <c r="K42" s="53">
        <f>G42</f>
        <v>-2.216450000560144E-2</v>
      </c>
      <c r="O42" s="53">
        <f ca="1">+C$11+C$12*F42</f>
        <v>-3.3481129689427895E-2</v>
      </c>
      <c r="Q42" s="76">
        <f>+C42-15018.5</f>
        <v>37205.913999999997</v>
      </c>
    </row>
    <row r="43" spans="1:17" ht="12.95" customHeight="1" x14ac:dyDescent="0.2">
      <c r="A43" s="78" t="s">
        <v>35</v>
      </c>
      <c r="B43" s="39" t="s">
        <v>37</v>
      </c>
      <c r="C43" s="38">
        <v>52224.413999999997</v>
      </c>
      <c r="D43" s="38">
        <v>4.0000000000000001E-3</v>
      </c>
      <c r="E43" s="79">
        <f>+(C43-C$7)/C$8</f>
        <v>8149.4514969221118</v>
      </c>
      <c r="F43" s="53">
        <f>ROUND(2*E43,0)/2</f>
        <v>8149.5</v>
      </c>
      <c r="G43" s="80">
        <f>+C43-(C$7+F43*C$8)</f>
        <v>-2.216450000560144E-2</v>
      </c>
      <c r="K43" s="80">
        <f>G43</f>
        <v>-2.216450000560144E-2</v>
      </c>
      <c r="O43" s="53">
        <f ca="1">+C$11+C$12*F43</f>
        <v>-3.3481129689427895E-2</v>
      </c>
      <c r="Q43" s="76">
        <f>+C43-15018.5</f>
        <v>37205.913999999997</v>
      </c>
    </row>
    <row r="44" spans="1:17" ht="12.95" customHeight="1" x14ac:dyDescent="0.2">
      <c r="A44" s="82" t="s">
        <v>85</v>
      </c>
      <c r="B44" s="83" t="s">
        <v>36</v>
      </c>
      <c r="C44" s="82">
        <v>52322.420700000002</v>
      </c>
      <c r="D44" s="38"/>
      <c r="E44" s="53">
        <f>+(C44-C$7)/C$8</f>
        <v>8363.9217805943917</v>
      </c>
      <c r="F44" s="53">
        <f>ROUND(2*E44,0)/2</f>
        <v>8364</v>
      </c>
      <c r="G44" s="53">
        <f>+C44-(C$7+F44*C$8)</f>
        <v>-3.5744000000704546E-2</v>
      </c>
      <c r="I44" s="53">
        <f>G44</f>
        <v>-3.5744000000704546E-2</v>
      </c>
      <c r="O44" s="53">
        <f ca="1">+C$11+C$12*F44</f>
        <v>-3.4504535943254422E-2</v>
      </c>
      <c r="Q44" s="76">
        <f>+C44-15018.5</f>
        <v>37303.920700000002</v>
      </c>
    </row>
    <row r="45" spans="1:17" ht="12.95" customHeight="1" x14ac:dyDescent="0.2">
      <c r="A45" s="82" t="s">
        <v>85</v>
      </c>
      <c r="B45" s="83" t="s">
        <v>36</v>
      </c>
      <c r="C45" s="82">
        <v>52323.334900000002</v>
      </c>
      <c r="D45" s="38"/>
      <c r="E45" s="53">
        <f>+(C45-C$7)/C$8</f>
        <v>8365.9223451816397</v>
      </c>
      <c r="F45" s="53">
        <f>ROUND(2*E45,0)/2</f>
        <v>8366</v>
      </c>
      <c r="G45" s="53">
        <f>+C45-(C$7+F45*C$8)</f>
        <v>-3.5486000000673812E-2</v>
      </c>
      <c r="I45" s="53">
        <f>G45</f>
        <v>-3.5486000000673812E-2</v>
      </c>
      <c r="O45" s="53">
        <f ca="1">+C$11+C$12*F45</f>
        <v>-3.4514078192707354E-2</v>
      </c>
      <c r="Q45" s="76">
        <f>+C45-15018.5</f>
        <v>37304.834900000002</v>
      </c>
    </row>
    <row r="46" spans="1:17" ht="12.95" customHeight="1" x14ac:dyDescent="0.2">
      <c r="A46" s="82" t="s">
        <v>85</v>
      </c>
      <c r="B46" s="83" t="s">
        <v>36</v>
      </c>
      <c r="C46" s="82">
        <v>52353.492100000003</v>
      </c>
      <c r="D46" s="38"/>
      <c r="E46" s="53">
        <f>+(C46-C$7)/C$8</f>
        <v>8431.9160296824102</v>
      </c>
      <c r="F46" s="53">
        <f>ROUND(2*E46,0)/2</f>
        <v>8432</v>
      </c>
      <c r="G46" s="53">
        <f>+C46-(C$7+F46*C$8)</f>
        <v>-3.8372000002709683E-2</v>
      </c>
      <c r="I46" s="53">
        <f>G46</f>
        <v>-3.8372000002709683E-2</v>
      </c>
      <c r="O46" s="53">
        <f ca="1">+C$11+C$12*F46</f>
        <v>-3.4828972424653978E-2</v>
      </c>
      <c r="Q46" s="76">
        <f>+C46-15018.5</f>
        <v>37334.992100000003</v>
      </c>
    </row>
    <row r="47" spans="1:17" ht="12.95" customHeight="1" x14ac:dyDescent="0.2">
      <c r="A47" s="82" t="s">
        <v>85</v>
      </c>
      <c r="B47" s="83" t="s">
        <v>36</v>
      </c>
      <c r="C47" s="82">
        <v>52364.464</v>
      </c>
      <c r="D47" s="38"/>
      <c r="E47" s="53">
        <f>+(C47-C$7)/C$8</f>
        <v>8455.9260872134055</v>
      </c>
      <c r="F47" s="53">
        <f>ROUND(2*E47,0)/2</f>
        <v>8456</v>
      </c>
      <c r="G47" s="53">
        <f>+C47-(C$7+F47*C$8)</f>
        <v>-3.3776000003854278E-2</v>
      </c>
      <c r="I47" s="53">
        <f>G47</f>
        <v>-3.3776000003854278E-2</v>
      </c>
      <c r="O47" s="53">
        <f ca="1">+C$11+C$12*F47</f>
        <v>-3.4943479418089111E-2</v>
      </c>
      <c r="Q47" s="76">
        <f>+C47-15018.5</f>
        <v>37345.964</v>
      </c>
    </row>
    <row r="48" spans="1:17" ht="12.95" customHeight="1" x14ac:dyDescent="0.2">
      <c r="A48" s="82" t="s">
        <v>85</v>
      </c>
      <c r="B48" s="83" t="s">
        <v>36</v>
      </c>
      <c r="C48" s="82">
        <v>52391.422200000001</v>
      </c>
      <c r="D48" s="38"/>
      <c r="E48" s="53">
        <f>+(C48-C$7)/C$8</f>
        <v>8514.919327484673</v>
      </c>
      <c r="F48" s="53">
        <f>ROUND(2*E48,0)/2</f>
        <v>8515</v>
      </c>
      <c r="G48" s="53">
        <f>+C48-(C$7+F48*C$8)</f>
        <v>-3.6865000001853332E-2</v>
      </c>
      <c r="I48" s="53">
        <f>G48</f>
        <v>-3.6865000001853332E-2</v>
      </c>
      <c r="O48" s="53">
        <f ca="1">+C$11+C$12*F48</f>
        <v>-3.5224975776950489E-2</v>
      </c>
      <c r="Q48" s="76">
        <f>+C48-15018.5</f>
        <v>37372.922200000001</v>
      </c>
    </row>
    <row r="49" spans="1:17" ht="12.95" customHeight="1" x14ac:dyDescent="0.2">
      <c r="A49" s="82" t="s">
        <v>85</v>
      </c>
      <c r="B49" s="83" t="s">
        <v>36</v>
      </c>
      <c r="C49" s="82">
        <v>52397.3629</v>
      </c>
      <c r="D49" s="38"/>
      <c r="E49" s="53">
        <f>+(C49-C$7)/C$8</f>
        <v>8527.9194959855158</v>
      </c>
      <c r="F49" s="53">
        <f>ROUND(2*E49,0)/2</f>
        <v>8528</v>
      </c>
      <c r="G49" s="53">
        <f>+C49-(C$7+F49*C$8)</f>
        <v>-3.6788000004889909E-2</v>
      </c>
      <c r="I49" s="53">
        <f>G49</f>
        <v>-3.6788000004889909E-2</v>
      </c>
      <c r="O49" s="53">
        <f ca="1">+C$11+C$12*F49</f>
        <v>-3.5287000398394525E-2</v>
      </c>
      <c r="Q49" s="76">
        <f>+C49-15018.5</f>
        <v>37378.8629</v>
      </c>
    </row>
    <row r="50" spans="1:17" ht="12.95" customHeight="1" x14ac:dyDescent="0.2">
      <c r="A50" s="82" t="s">
        <v>85</v>
      </c>
      <c r="B50" s="83" t="s">
        <v>37</v>
      </c>
      <c r="C50" s="82">
        <v>52399.420400000003</v>
      </c>
      <c r="D50" s="77"/>
      <c r="E50" s="53">
        <f>+(C50-C$7)/C$8</f>
        <v>8532.4219698843044</v>
      </c>
      <c r="F50" s="53">
        <f>ROUND(2*E50,0)/2</f>
        <v>8532.5</v>
      </c>
      <c r="G50" s="53">
        <f>+C50-(C$7+F50*C$8)</f>
        <v>-3.5657499996887054E-2</v>
      </c>
      <c r="I50" s="53">
        <f>G50</f>
        <v>-3.5657499996887054E-2</v>
      </c>
      <c r="O50" s="53">
        <f ca="1">+C$11+C$12*F50</f>
        <v>-3.5308470459663607E-2</v>
      </c>
      <c r="Q50" s="76">
        <f>+C50-15018.5</f>
        <v>37380.920400000003</v>
      </c>
    </row>
    <row r="51" spans="1:17" ht="12.95" customHeight="1" x14ac:dyDescent="0.2">
      <c r="A51" s="78" t="s">
        <v>39</v>
      </c>
      <c r="B51" s="39"/>
      <c r="C51" s="38">
        <v>52583.959799999997</v>
      </c>
      <c r="D51" s="38"/>
      <c r="E51" s="53">
        <f>+(C51-C$7)/C$8</f>
        <v>8936.2537228839337</v>
      </c>
      <c r="F51" s="53">
        <f>ROUND(2*E51,0)/2</f>
        <v>8936.5</v>
      </c>
      <c r="G51" s="53">
        <f>+C51-(C$7+F51*C$8)</f>
        <v>-0.11254150000604568</v>
      </c>
      <c r="N51" s="53">
        <f>G51</f>
        <v>-0.11254150000604568</v>
      </c>
      <c r="O51" s="53">
        <f ca="1">+C$11+C$12*F51</f>
        <v>-3.7236004849155076E-2</v>
      </c>
      <c r="Q51" s="76">
        <f>+C51-15018.5</f>
        <v>37565.459799999997</v>
      </c>
    </row>
    <row r="52" spans="1:17" ht="12.95" customHeight="1" x14ac:dyDescent="0.2">
      <c r="A52" s="78" t="s">
        <v>39</v>
      </c>
      <c r="B52" s="39"/>
      <c r="C52" s="38">
        <v>52583.959799999997</v>
      </c>
      <c r="D52" s="38"/>
      <c r="E52" s="79">
        <f>+(C52-C$7)/C$8</f>
        <v>8936.2537228839337</v>
      </c>
      <c r="F52" s="53">
        <f>ROUND(2*E52,0)/2</f>
        <v>8936.5</v>
      </c>
      <c r="G52" s="80">
        <f>+C52-(C$7+F52*C$8)</f>
        <v>-0.11254150000604568</v>
      </c>
      <c r="N52" s="80">
        <f>G52</f>
        <v>-0.11254150000604568</v>
      </c>
      <c r="O52" s="53">
        <f ca="1">+C$11+C$12*F52</f>
        <v>-3.7236004849155076E-2</v>
      </c>
      <c r="Q52" s="76">
        <f>+C52-15018.5</f>
        <v>37565.459799999997</v>
      </c>
    </row>
    <row r="53" spans="1:17" ht="12.95" customHeight="1" x14ac:dyDescent="0.2">
      <c r="A53" s="82" t="s">
        <v>85</v>
      </c>
      <c r="B53" s="83" t="s">
        <v>37</v>
      </c>
      <c r="C53" s="82">
        <v>52692.339699999997</v>
      </c>
      <c r="D53" s="77"/>
      <c r="E53" s="53">
        <f>+(C53-C$7)/C$8</f>
        <v>9173.4239153031467</v>
      </c>
      <c r="F53" s="53">
        <f>ROUND(2*E53,0)/2</f>
        <v>9173.5</v>
      </c>
      <c r="G53" s="53">
        <f>+C53-(C$7+F53*C$8)</f>
        <v>-3.4768500008794945E-2</v>
      </c>
      <c r="I53" s="53">
        <f>G53</f>
        <v>-3.4768500008794945E-2</v>
      </c>
      <c r="O53" s="53">
        <f ca="1">+C$11+C$12*F53</f>
        <v>-3.8366761409327044E-2</v>
      </c>
      <c r="Q53" s="76">
        <f>+C53-15018.5</f>
        <v>37673.839699999997</v>
      </c>
    </row>
    <row r="54" spans="1:17" ht="12.95" customHeight="1" x14ac:dyDescent="0.2">
      <c r="A54" s="82" t="s">
        <v>85</v>
      </c>
      <c r="B54" s="83" t="s">
        <v>37</v>
      </c>
      <c r="C54" s="82">
        <v>52697.365400000002</v>
      </c>
      <c r="D54" s="77"/>
      <c r="E54" s="53">
        <f>+(C54-C$7)/C$8</f>
        <v>9184.4217685586173</v>
      </c>
      <c r="F54" s="53">
        <f>ROUND(2*E54,0)/2</f>
        <v>9184.5</v>
      </c>
      <c r="G54" s="53">
        <f>+C54-(C$7+F54*C$8)</f>
        <v>-3.5749499998928513E-2</v>
      </c>
      <c r="I54" s="53">
        <f>G54</f>
        <v>-3.5749499998928513E-2</v>
      </c>
      <c r="O54" s="53">
        <f ca="1">+C$11+C$12*F54</f>
        <v>-3.8419243781318148E-2</v>
      </c>
      <c r="Q54" s="76">
        <f>+C54-15018.5</f>
        <v>37678.865400000002</v>
      </c>
    </row>
    <row r="55" spans="1:17" ht="12.95" customHeight="1" x14ac:dyDescent="0.2">
      <c r="A55" s="82" t="s">
        <v>85</v>
      </c>
      <c r="B55" s="83" t="s">
        <v>36</v>
      </c>
      <c r="C55" s="82">
        <v>52697.591800000002</v>
      </c>
      <c r="D55" s="77"/>
      <c r="E55" s="53">
        <f>+(C55-C$7)/C$8</f>
        <v>9184.9172048116834</v>
      </c>
      <c r="F55" s="53">
        <f>ROUND(2*E55,0)/2</f>
        <v>9185</v>
      </c>
      <c r="G55" s="53">
        <f>+C55-(C$7+F55*C$8)</f>
        <v>-3.7835000002814922E-2</v>
      </c>
      <c r="I55" s="53">
        <f>G55</f>
        <v>-3.7835000002814922E-2</v>
      </c>
      <c r="O55" s="53">
        <f ca="1">+C$11+C$12*F55</f>
        <v>-3.8421629343681381E-2</v>
      </c>
      <c r="Q55" s="76">
        <f>+C55-15018.5</f>
        <v>37679.091800000002</v>
      </c>
    </row>
    <row r="56" spans="1:17" ht="12.95" customHeight="1" x14ac:dyDescent="0.2">
      <c r="A56" s="82" t="s">
        <v>85</v>
      </c>
      <c r="B56" s="83" t="s">
        <v>36</v>
      </c>
      <c r="C56" s="82">
        <v>52698.505100000002</v>
      </c>
      <c r="D56" s="77"/>
      <c r="E56" s="53">
        <f>+(C56-C$7)/C$8</f>
        <v>9186.9157999085273</v>
      </c>
      <c r="F56" s="53">
        <f>ROUND(2*E56,0)/2</f>
        <v>9187</v>
      </c>
      <c r="G56" s="53">
        <f>+C56-(C$7+F56*C$8)</f>
        <v>-3.8477000001876149E-2</v>
      </c>
      <c r="I56" s="53">
        <f>G56</f>
        <v>-3.8477000001876149E-2</v>
      </c>
      <c r="O56" s="53">
        <f ca="1">+C$11+C$12*F56</f>
        <v>-3.8431171593134313E-2</v>
      </c>
      <c r="Q56" s="76">
        <f>+C56-15018.5</f>
        <v>37680.005100000002</v>
      </c>
    </row>
    <row r="57" spans="1:17" ht="12.95" customHeight="1" x14ac:dyDescent="0.2">
      <c r="A57" s="78" t="s">
        <v>42</v>
      </c>
      <c r="B57" s="39"/>
      <c r="C57" s="38">
        <v>52968.277399999999</v>
      </c>
      <c r="D57" s="38">
        <v>1E-4</v>
      </c>
      <c r="E57" s="79">
        <f>+(C57-C$7)/C$8</f>
        <v>9777.2646404257521</v>
      </c>
      <c r="F57" s="53">
        <f>ROUND(2*E57,0)/2</f>
        <v>9777.5</v>
      </c>
      <c r="G57" s="80">
        <f>+C57-(C$7+F57*C$8)</f>
        <v>-0.10755250000511296</v>
      </c>
      <c r="K57" s="80">
        <f>G57</f>
        <v>-0.10755250000511296</v>
      </c>
      <c r="O57" s="53">
        <f ca="1">+C$11+C$12*F57</f>
        <v>-4.1248520744111311E-2</v>
      </c>
      <c r="Q57" s="76">
        <f>+C57-15018.5</f>
        <v>37949.777399999999</v>
      </c>
    </row>
    <row r="58" spans="1:17" ht="12.95" customHeight="1" x14ac:dyDescent="0.2">
      <c r="A58" s="78" t="s">
        <v>38</v>
      </c>
      <c r="B58" s="39"/>
      <c r="C58" s="38">
        <v>52968.277415999997</v>
      </c>
      <c r="D58" s="38">
        <v>1E-4</v>
      </c>
      <c r="E58" s="53">
        <f>+(C58-C$7)/C$8</f>
        <v>9777.2646754389116</v>
      </c>
      <c r="F58" s="53">
        <f>ROUND(2*E58,0)/2</f>
        <v>9777.5</v>
      </c>
      <c r="G58" s="80">
        <f>+C58-(C$7+F58*C$8)</f>
        <v>-0.10753650000697235</v>
      </c>
      <c r="K58" s="80">
        <f>G58</f>
        <v>-0.10753650000697235</v>
      </c>
      <c r="O58" s="53">
        <f ca="1">+C$11+C$12*F58</f>
        <v>-4.1248520744111311E-2</v>
      </c>
      <c r="Q58" s="76">
        <f>+C58-15018.5</f>
        <v>37949.777415999997</v>
      </c>
    </row>
    <row r="59" spans="1:17" ht="12.95" customHeight="1" x14ac:dyDescent="0.2">
      <c r="A59" s="82" t="s">
        <v>120</v>
      </c>
      <c r="B59" s="83" t="s">
        <v>36</v>
      </c>
      <c r="C59" s="82">
        <v>53082.358500000002</v>
      </c>
      <c r="D59" s="77"/>
      <c r="E59" s="53">
        <f>+(C59-C$7)/C$8</f>
        <v>10026.91089806574</v>
      </c>
      <c r="F59" s="53">
        <f>ROUND(2*E59,0)/2</f>
        <v>10027</v>
      </c>
      <c r="G59" s="80">
        <f>+C59-(C$7+F59*C$8)</f>
        <v>-4.0717000003496651E-2</v>
      </c>
      <c r="I59" s="80">
        <f>G59</f>
        <v>-4.0717000003496651E-2</v>
      </c>
      <c r="O59" s="53">
        <f ca="1">+C$11+C$12*F59</f>
        <v>-4.2438916363364082E-2</v>
      </c>
      <c r="Q59" s="76">
        <f>+C59-15018.5</f>
        <v>38063.858500000002</v>
      </c>
    </row>
    <row r="60" spans="1:17" ht="12.95" customHeight="1" x14ac:dyDescent="0.2">
      <c r="A60" s="82" t="s">
        <v>125</v>
      </c>
      <c r="B60" s="83" t="s">
        <v>37</v>
      </c>
      <c r="C60" s="82">
        <v>53460.942300000002</v>
      </c>
      <c r="D60" s="77"/>
      <c r="E60" s="53">
        <f>+(C60-C$7)/C$8</f>
        <v>10855.37441106766</v>
      </c>
      <c r="F60" s="53">
        <f>ROUND(2*E60,0)/2</f>
        <v>10855.5</v>
      </c>
      <c r="G60" s="80">
        <f>+C60-(C$7+F60*C$8)</f>
        <v>-5.7390499998291489E-2</v>
      </c>
      <c r="I60" s="80">
        <f>G60</f>
        <v>-5.7390499998291489E-2</v>
      </c>
      <c r="O60" s="53">
        <f ca="1">+C$11+C$12*F60</f>
        <v>-4.6391793199239521E-2</v>
      </c>
      <c r="Q60" s="76">
        <f>+C60-15018.5</f>
        <v>38442.442300000002</v>
      </c>
    </row>
    <row r="61" spans="1:17" ht="12.95" customHeight="1" x14ac:dyDescent="0.2">
      <c r="A61" s="82" t="s">
        <v>125</v>
      </c>
      <c r="B61" s="83" t="s">
        <v>36</v>
      </c>
      <c r="C61" s="82">
        <v>53461.183900000004</v>
      </c>
      <c r="D61" s="77"/>
      <c r="E61" s="53">
        <f>+(C61-C$7)/C$8</f>
        <v>10855.903109825353</v>
      </c>
      <c r="F61" s="53">
        <f>ROUND(2*E61,0)/2</f>
        <v>10856</v>
      </c>
      <c r="G61" s="80">
        <f>+C61-(C$7+F61*C$8)</f>
        <v>-4.4276000000536442E-2</v>
      </c>
      <c r="I61" s="80">
        <f>G61</f>
        <v>-4.4276000000536442E-2</v>
      </c>
      <c r="O61" s="53">
        <f ca="1">+C$11+C$12*F61</f>
        <v>-4.6394178761602754E-2</v>
      </c>
      <c r="Q61" s="76">
        <f>+C61-15018.5</f>
        <v>38442.683900000004</v>
      </c>
    </row>
    <row r="62" spans="1:17" ht="12.95" customHeight="1" x14ac:dyDescent="0.2">
      <c r="A62" s="73" t="s">
        <v>65</v>
      </c>
      <c r="B62" s="74" t="s">
        <v>36</v>
      </c>
      <c r="C62" s="75">
        <v>53832.694900000002</v>
      </c>
      <c r="D62" s="75">
        <v>1E-4</v>
      </c>
      <c r="E62" s="53">
        <f>+(C62-C$7)/C$8</f>
        <v>11668.889054228823</v>
      </c>
      <c r="F62" s="53">
        <f>ROUND(2*E62,0)/2</f>
        <v>11669</v>
      </c>
      <c r="G62" s="80">
        <f>+C62-(C$7+F62*C$8)</f>
        <v>-5.0698999999440275E-2</v>
      </c>
      <c r="K62" s="80">
        <f>G62</f>
        <v>-5.0698999999440275E-2</v>
      </c>
      <c r="O62" s="53">
        <f ca="1">+C$11+C$12*F62</f>
        <v>-5.0273103164218E-2</v>
      </c>
      <c r="Q62" s="76">
        <f>+C62-15018.5</f>
        <v>38814.194900000002</v>
      </c>
    </row>
    <row r="63" spans="1:17" ht="12.95" customHeight="1" x14ac:dyDescent="0.2">
      <c r="A63" s="38" t="s">
        <v>60</v>
      </c>
      <c r="B63" s="39" t="s">
        <v>37</v>
      </c>
      <c r="C63" s="38">
        <v>54942.440300000002</v>
      </c>
      <c r="D63" s="38">
        <v>1E-3</v>
      </c>
      <c r="E63" s="53">
        <f>+(C63-C$7)/C$8</f>
        <v>14097.370073812122</v>
      </c>
      <c r="F63" s="53">
        <f>ROUND(2*E63,0)/2</f>
        <v>14097.5</v>
      </c>
      <c r="G63" s="80">
        <f>+C63-(C$7+F63*C$8)</f>
        <v>-5.9372499999881256E-2</v>
      </c>
      <c r="K63" s="80">
        <f>G63</f>
        <v>-5.9372499999881256E-2</v>
      </c>
      <c r="O63" s="53">
        <f ca="1">+C$11+C$12*F63</f>
        <v>-6.1859779562435865E-2</v>
      </c>
      <c r="Q63" s="76">
        <f>+C63-15018.5</f>
        <v>39923.940300000002</v>
      </c>
    </row>
    <row r="64" spans="1:17" ht="12.95" customHeight="1" x14ac:dyDescent="0.2">
      <c r="A64" s="82" t="s">
        <v>139</v>
      </c>
      <c r="B64" s="83" t="s">
        <v>37</v>
      </c>
      <c r="C64" s="82">
        <v>54942.440999999999</v>
      </c>
      <c r="D64" s="77"/>
      <c r="E64" s="53">
        <f>+(C64-C$7)/C$8</f>
        <v>14097.371605637987</v>
      </c>
      <c r="F64" s="53">
        <f>ROUND(2*E64,0)/2</f>
        <v>14097.5</v>
      </c>
      <c r="G64" s="80">
        <f>+C64-(C$7+F64*C$8)</f>
        <v>-5.8672500003012829E-2</v>
      </c>
      <c r="I64" s="80">
        <f>G64</f>
        <v>-5.8672500003012829E-2</v>
      </c>
      <c r="O64" s="53">
        <f ca="1">+C$11+C$12*F64</f>
        <v>-6.1859779562435865E-2</v>
      </c>
      <c r="Q64" s="76">
        <f>+C64-15018.5</f>
        <v>39923.940999999999</v>
      </c>
    </row>
    <row r="65" spans="1:17" ht="12.95" customHeight="1" x14ac:dyDescent="0.2">
      <c r="A65" s="38" t="s">
        <v>60</v>
      </c>
      <c r="B65" s="39" t="s">
        <v>37</v>
      </c>
      <c r="C65" s="38">
        <v>54942.441039999998</v>
      </c>
      <c r="D65" s="38">
        <v>8.9999999999999998E-4</v>
      </c>
      <c r="E65" s="53">
        <f>+(C65-C$7)/C$8</f>
        <v>14097.371693170891</v>
      </c>
      <c r="F65" s="53">
        <f>ROUND(2*E65,0)/2</f>
        <v>14097.5</v>
      </c>
      <c r="G65" s="80">
        <f>+C65-(C$7+F65*C$8)</f>
        <v>-5.8632500004023314E-2</v>
      </c>
      <c r="K65" s="80">
        <f>G65</f>
        <v>-5.8632500004023314E-2</v>
      </c>
      <c r="O65" s="53">
        <f ca="1">+C$11+C$12*F65</f>
        <v>-6.1859779562435865E-2</v>
      </c>
      <c r="Q65" s="76">
        <f>+C65-15018.5</f>
        <v>39923.941039999998</v>
      </c>
    </row>
    <row r="66" spans="1:17" ht="12.95" customHeight="1" x14ac:dyDescent="0.2">
      <c r="A66" s="82" t="s">
        <v>139</v>
      </c>
      <c r="B66" s="83" t="s">
        <v>37</v>
      </c>
      <c r="C66" s="82">
        <v>54942.441099999996</v>
      </c>
      <c r="D66" s="77"/>
      <c r="E66" s="53">
        <f>+(C66-C$7)/C$8</f>
        <v>14097.371824470249</v>
      </c>
      <c r="F66" s="53">
        <f>ROUND(2*E66,0)/2</f>
        <v>14097.5</v>
      </c>
      <c r="G66" s="80">
        <f>+C66-(C$7+F66*C$8)</f>
        <v>-5.8572500005539041E-2</v>
      </c>
      <c r="I66" s="80">
        <f>G66</f>
        <v>-5.8572500005539041E-2</v>
      </c>
      <c r="O66" s="53">
        <f ca="1">+C$11+C$12*F66</f>
        <v>-6.1859779562435865E-2</v>
      </c>
      <c r="Q66" s="76">
        <f>+C66-15018.5</f>
        <v>39923.941099999996</v>
      </c>
    </row>
    <row r="67" spans="1:17" ht="12.95" customHeight="1" x14ac:dyDescent="0.2">
      <c r="A67" s="38" t="s">
        <v>60</v>
      </c>
      <c r="B67" s="39" t="s">
        <v>37</v>
      </c>
      <c r="C67" s="38">
        <v>54942.441149999999</v>
      </c>
      <c r="D67" s="38">
        <v>6.9999999999999999E-4</v>
      </c>
      <c r="E67" s="53">
        <f>+(C67-C$7)/C$8</f>
        <v>14097.371933886387</v>
      </c>
      <c r="F67" s="53">
        <f>ROUND(2*E67,0)/2</f>
        <v>14097.5</v>
      </c>
      <c r="G67" s="80">
        <f>+C67-(C$7+F67*C$8)</f>
        <v>-5.8522500003164168E-2</v>
      </c>
      <c r="K67" s="80">
        <f>G67</f>
        <v>-5.8522500003164168E-2</v>
      </c>
      <c r="O67" s="53">
        <f ca="1">+C$11+C$12*F67</f>
        <v>-6.1859779562435865E-2</v>
      </c>
      <c r="Q67" s="76">
        <f>+C67-15018.5</f>
        <v>39923.941149999999</v>
      </c>
    </row>
    <row r="68" spans="1:17" ht="12.95" customHeight="1" x14ac:dyDescent="0.2">
      <c r="A68" s="38" t="s">
        <v>63</v>
      </c>
      <c r="B68" s="39" t="s">
        <v>36</v>
      </c>
      <c r="C68" s="38">
        <v>55592.472399999999</v>
      </c>
      <c r="D68" s="38">
        <v>4.8999999999999998E-4</v>
      </c>
      <c r="E68" s="53">
        <f>+(C68-C$7)/C$8</f>
        <v>15519.850056130468</v>
      </c>
      <c r="F68" s="53">
        <f>ROUND(2*E68,0)/2</f>
        <v>15520</v>
      </c>
      <c r="G68" s="80">
        <f>+C68-(C$7+F68*C$8)</f>
        <v>-6.8520000000717118E-2</v>
      </c>
      <c r="K68" s="80">
        <f>G68</f>
        <v>-6.8520000000717118E-2</v>
      </c>
      <c r="O68" s="53">
        <f ca="1">+C$11+C$12*F68</f>
        <v>-6.864670448583092E-2</v>
      </c>
      <c r="Q68" s="76">
        <f>+C68-15018.5</f>
        <v>40573.972399999999</v>
      </c>
    </row>
    <row r="69" spans="1:17" ht="12.95" customHeight="1" x14ac:dyDescent="0.2">
      <c r="A69" s="38" t="s">
        <v>63</v>
      </c>
      <c r="B69" s="39" t="s">
        <v>36</v>
      </c>
      <c r="C69" s="38">
        <v>55617.606290000003</v>
      </c>
      <c r="D69" s="38">
        <v>2.9E-4</v>
      </c>
      <c r="E69" s="53">
        <f>+(C69-C$7)/C$8</f>
        <v>15574.851117466975</v>
      </c>
      <c r="F69" s="53">
        <f>ROUND(2*E69,0)/2</f>
        <v>15575</v>
      </c>
      <c r="G69" s="80">
        <f>+C69-(C$7+F69*C$8)</f>
        <v>-6.8034999996598344E-2</v>
      </c>
      <c r="K69" s="80">
        <f>G69</f>
        <v>-6.8034999996598344E-2</v>
      </c>
      <c r="O69" s="53">
        <f ca="1">+C$11+C$12*F69</f>
        <v>-6.8909116345786448E-2</v>
      </c>
      <c r="Q69" s="76">
        <f>+C69-15018.5</f>
        <v>40599.106290000003</v>
      </c>
    </row>
    <row r="70" spans="1:17" ht="12.95" customHeight="1" x14ac:dyDescent="0.2">
      <c r="A70" s="73" t="s">
        <v>66</v>
      </c>
      <c r="B70" s="74" t="s">
        <v>36</v>
      </c>
      <c r="C70" s="75">
        <v>55957.5916</v>
      </c>
      <c r="D70" s="75">
        <v>1E-4</v>
      </c>
      <c r="E70" s="53">
        <f>+(C70-C$7)/C$8</f>
        <v>16318.84867967551</v>
      </c>
      <c r="F70" s="53">
        <f>ROUND(2*E70,0)/2</f>
        <v>16319</v>
      </c>
      <c r="G70" s="80">
        <f>+C70-(C$7+F70*C$8)</f>
        <v>-6.9149000002653338E-2</v>
      </c>
      <c r="K70" s="80">
        <f>G70</f>
        <v>-6.9149000002653338E-2</v>
      </c>
      <c r="O70" s="53">
        <f ca="1">+C$11+C$12*F70</f>
        <v>-7.2458833142275678E-2</v>
      </c>
      <c r="Q70" s="76">
        <f>+C70-15018.5</f>
        <v>40939.0916</v>
      </c>
    </row>
    <row r="71" spans="1:17" ht="12.95" customHeight="1" x14ac:dyDescent="0.2">
      <c r="A71" s="73" t="s">
        <v>67</v>
      </c>
      <c r="B71" s="74" t="s">
        <v>36</v>
      </c>
      <c r="C71" s="75">
        <v>56001.458200000001</v>
      </c>
      <c r="D71" s="75">
        <v>1.6000000000000001E-3</v>
      </c>
      <c r="E71" s="53">
        <f>+(C71-C$7)/C$8</f>
        <v>16414.8429550234</v>
      </c>
      <c r="F71" s="53">
        <f>ROUND(2*E71,0)/2</f>
        <v>16415</v>
      </c>
      <c r="G71" s="80">
        <f>+C71-(C$7+F71*C$8)</f>
        <v>-7.1765000000596046E-2</v>
      </c>
      <c r="K71" s="80">
        <f>G71</f>
        <v>-7.1765000000596046E-2</v>
      </c>
      <c r="O71" s="53">
        <f ca="1">+C$11+C$12*F71</f>
        <v>-7.2916861116016224E-2</v>
      </c>
      <c r="Q71" s="76">
        <f>+C71-15018.5</f>
        <v>40982.958200000001</v>
      </c>
    </row>
    <row r="72" spans="1:17" ht="12.95" customHeight="1" x14ac:dyDescent="0.2">
      <c r="A72" s="73" t="s">
        <v>66</v>
      </c>
      <c r="B72" s="74" t="s">
        <v>36</v>
      </c>
      <c r="C72" s="75">
        <v>56012.4254</v>
      </c>
      <c r="D72" s="75">
        <v>5.0000000000000001E-4</v>
      </c>
      <c r="E72" s="53">
        <f>+(C72-C$7)/C$8</f>
        <v>16438.842727437841</v>
      </c>
      <c r="F72" s="53">
        <f>ROUND(2*E72,0)/2</f>
        <v>16439</v>
      </c>
      <c r="G72" s="80">
        <f>+C72-(C$7+F72*C$8)</f>
        <v>-7.1868999999423977E-2</v>
      </c>
      <c r="K72" s="80">
        <f>G72</f>
        <v>-7.1868999999423977E-2</v>
      </c>
      <c r="O72" s="53">
        <f ca="1">+C$11+C$12*F72</f>
        <v>-7.3031368109451364E-2</v>
      </c>
      <c r="Q72" s="76">
        <f>+C72-15018.5</f>
        <v>40993.9254</v>
      </c>
    </row>
    <row r="73" spans="1:17" ht="12.95" customHeight="1" x14ac:dyDescent="0.2">
      <c r="A73" s="88" t="s">
        <v>171</v>
      </c>
      <c r="B73" s="89" t="s">
        <v>37</v>
      </c>
      <c r="C73" s="90">
        <v>57781.571440000087</v>
      </c>
      <c r="D73" s="90">
        <v>6.9999999999999999E-4</v>
      </c>
      <c r="E73" s="53">
        <f>+(C73-C$7)/C$8</f>
        <v>20310.305117830419</v>
      </c>
      <c r="F73" s="53">
        <f>ROUND(2*E73,0)/2</f>
        <v>20310.5</v>
      </c>
      <c r="G73" s="80">
        <f>+C73-(C$7+F73*C$8)</f>
        <v>-8.9055499913229141E-2</v>
      </c>
      <c r="K73" s="80">
        <f>G73</f>
        <v>-8.9055499913229141E-2</v>
      </c>
      <c r="O73" s="53">
        <f ca="1">+C$11+C$12*F73</f>
        <v>-9.1502777487956793E-2</v>
      </c>
      <c r="Q73" s="76">
        <f>+C73-15018.5</f>
        <v>42763.071440000087</v>
      </c>
    </row>
    <row r="74" spans="1:17" ht="12.95" customHeight="1" x14ac:dyDescent="0.2">
      <c r="A74" s="84" t="s">
        <v>168</v>
      </c>
      <c r="B74" s="85" t="s">
        <v>36</v>
      </c>
      <c r="C74" s="86">
        <v>58101.220300000001</v>
      </c>
      <c r="D74" s="87" t="s">
        <v>77</v>
      </c>
      <c r="E74" s="53">
        <f>+(C74-C$7)/C$8</f>
        <v>21009.799965424496</v>
      </c>
      <c r="F74" s="53">
        <f>ROUND(2*E74,0)/2</f>
        <v>21010</v>
      </c>
      <c r="G74" s="80">
        <f>+C74-(C$7+F74*C$8)</f>
        <v>-9.1410000000905711E-2</v>
      </c>
      <c r="K74" s="80">
        <f>G74</f>
        <v>-9.1410000000905711E-2</v>
      </c>
      <c r="O74" s="53">
        <f ca="1">+C$11+C$12*F74</f>
        <v>-9.4840179234118374E-2</v>
      </c>
      <c r="Q74" s="76">
        <f>+C74-15018.5</f>
        <v>43082.720300000001</v>
      </c>
    </row>
    <row r="75" spans="1:17" ht="12.95" customHeight="1" x14ac:dyDescent="0.2">
      <c r="A75" s="88" t="s">
        <v>171</v>
      </c>
      <c r="B75" s="89" t="s">
        <v>36</v>
      </c>
      <c r="C75" s="90">
        <v>58177.532759999856</v>
      </c>
      <c r="D75" s="90">
        <v>2.9999999999999997E-4</v>
      </c>
      <c r="E75" s="53">
        <f>+(C75-C$7)/C$8</f>
        <v>21176.796251840606</v>
      </c>
      <c r="F75" s="53">
        <f>ROUND(2*E75,0)/2</f>
        <v>21177</v>
      </c>
      <c r="G75" s="80">
        <f>+C75-(C$7+F75*C$8)</f>
        <v>-9.310700014611939E-2</v>
      </c>
      <c r="K75" s="80">
        <f>G75</f>
        <v>-9.310700014611939E-2</v>
      </c>
      <c r="O75" s="53">
        <f ca="1">+C$11+C$12*F75</f>
        <v>-9.5636957063437875E-2</v>
      </c>
      <c r="Q75" s="76">
        <f>+C75-15018.5</f>
        <v>43159.032759999856</v>
      </c>
    </row>
    <row r="76" spans="1:17" ht="12.95" customHeight="1" x14ac:dyDescent="0.2">
      <c r="A76" s="73" t="s">
        <v>172</v>
      </c>
      <c r="B76" s="74" t="s">
        <v>36</v>
      </c>
      <c r="C76" s="75">
        <v>59309.443200000002</v>
      </c>
      <c r="D76" s="75">
        <v>5.9999999999999995E-4</v>
      </c>
      <c r="E76" s="53">
        <f>+(C76-C$7)/C$8</f>
        <v>23653.781530994307</v>
      </c>
      <c r="F76" s="53">
        <f>ROUND(2*E76,0)/2</f>
        <v>23654</v>
      </c>
      <c r="G76" s="80">
        <f>+C76-(C$7+F76*C$8)</f>
        <v>-9.9834000000555534E-2</v>
      </c>
      <c r="K76" s="80">
        <f>G76</f>
        <v>-9.9834000000555534E-2</v>
      </c>
      <c r="O76" s="53">
        <f ca="1">+C$11+C$12*F76</f>
        <v>-0.10745503301088924</v>
      </c>
      <c r="Q76" s="76">
        <f>+C76-15018.5</f>
        <v>44290.943200000002</v>
      </c>
    </row>
    <row r="77" spans="1:17" ht="12.95" customHeight="1" x14ac:dyDescent="0.2">
      <c r="B77" s="63"/>
      <c r="C77" s="77"/>
      <c r="D77" s="77"/>
    </row>
    <row r="78" spans="1:17" ht="12.95" customHeight="1" x14ac:dyDescent="0.2">
      <c r="B78" s="63"/>
      <c r="C78" s="77"/>
      <c r="D78" s="77"/>
    </row>
    <row r="79" spans="1:17" ht="12.95" customHeight="1" x14ac:dyDescent="0.2">
      <c r="B79" s="63"/>
      <c r="C79" s="77"/>
      <c r="D79" s="77"/>
    </row>
    <row r="80" spans="1:17" ht="12.95" customHeight="1" x14ac:dyDescent="0.2">
      <c r="B80" s="63"/>
      <c r="C80" s="77"/>
      <c r="D80" s="77"/>
    </row>
    <row r="81" spans="2:4" ht="12.95" customHeight="1" x14ac:dyDescent="0.2">
      <c r="B81" s="63"/>
      <c r="C81" s="77"/>
      <c r="D81" s="77"/>
    </row>
    <row r="82" spans="2:4" ht="12.95" customHeight="1" x14ac:dyDescent="0.2">
      <c r="B82" s="63"/>
      <c r="C82" s="77"/>
      <c r="D82" s="77"/>
    </row>
    <row r="83" spans="2:4" ht="12.95" customHeight="1" x14ac:dyDescent="0.2">
      <c r="B83" s="63"/>
      <c r="C83" s="77"/>
      <c r="D83" s="77"/>
    </row>
    <row r="84" spans="2:4" ht="12.95" customHeight="1" x14ac:dyDescent="0.2">
      <c r="B84" s="63"/>
      <c r="C84" s="77"/>
      <c r="D84" s="77"/>
    </row>
    <row r="85" spans="2:4" ht="12.95" customHeight="1" x14ac:dyDescent="0.2">
      <c r="B85" s="63"/>
      <c r="C85" s="77"/>
      <c r="D85" s="77"/>
    </row>
    <row r="86" spans="2:4" ht="12.95" customHeight="1" x14ac:dyDescent="0.2">
      <c r="B86" s="63"/>
      <c r="C86" s="77"/>
      <c r="D86" s="77"/>
    </row>
    <row r="87" spans="2:4" ht="12.95" customHeight="1" x14ac:dyDescent="0.2">
      <c r="B87" s="63"/>
      <c r="C87" s="77"/>
      <c r="D87" s="77"/>
    </row>
    <row r="88" spans="2:4" ht="12.95" customHeight="1" x14ac:dyDescent="0.2">
      <c r="B88" s="63"/>
      <c r="C88" s="77"/>
      <c r="D88" s="77"/>
    </row>
    <row r="89" spans="2:4" ht="12.95" customHeight="1" x14ac:dyDescent="0.2">
      <c r="B89" s="63"/>
      <c r="C89" s="77"/>
      <c r="D89" s="77"/>
    </row>
    <row r="90" spans="2:4" ht="12.95" customHeight="1" x14ac:dyDescent="0.2">
      <c r="B90" s="63"/>
      <c r="C90" s="77"/>
      <c r="D90" s="77"/>
    </row>
    <row r="91" spans="2:4" ht="12.95" customHeight="1" x14ac:dyDescent="0.2">
      <c r="B91" s="63"/>
      <c r="C91" s="77"/>
      <c r="D91" s="77"/>
    </row>
    <row r="92" spans="2:4" ht="12.95" customHeight="1" x14ac:dyDescent="0.2">
      <c r="B92" s="63"/>
      <c r="C92" s="77"/>
      <c r="D92" s="77"/>
    </row>
    <row r="93" spans="2:4" ht="12.95" customHeight="1" x14ac:dyDescent="0.2">
      <c r="B93" s="63"/>
      <c r="C93" s="77"/>
      <c r="D93" s="77"/>
    </row>
    <row r="94" spans="2:4" ht="12.95" customHeight="1" x14ac:dyDescent="0.2">
      <c r="B94" s="63"/>
    </row>
    <row r="95" spans="2:4" ht="12.95" customHeight="1" x14ac:dyDescent="0.2">
      <c r="B95" s="63"/>
    </row>
    <row r="96" spans="2:4" ht="12.95" customHeight="1" x14ac:dyDescent="0.2">
      <c r="B96" s="63"/>
    </row>
    <row r="97" spans="2:2" ht="12.95" customHeight="1" x14ac:dyDescent="0.2">
      <c r="B97" s="63"/>
    </row>
    <row r="98" spans="2:2" ht="12.95" customHeight="1" x14ac:dyDescent="0.2">
      <c r="B98" s="63"/>
    </row>
    <row r="99" spans="2:2" ht="12.95" customHeight="1" x14ac:dyDescent="0.2">
      <c r="B99" s="63"/>
    </row>
    <row r="100" spans="2:2" ht="12.95" customHeight="1" x14ac:dyDescent="0.2">
      <c r="B100" s="63"/>
    </row>
    <row r="101" spans="2:2" ht="12.95" customHeight="1" x14ac:dyDescent="0.2">
      <c r="B101" s="63"/>
    </row>
    <row r="102" spans="2:2" ht="12.95" customHeight="1" x14ac:dyDescent="0.2">
      <c r="B102" s="63"/>
    </row>
    <row r="103" spans="2:2" ht="12.95" customHeight="1" x14ac:dyDescent="0.2">
      <c r="B103" s="63"/>
    </row>
    <row r="104" spans="2:2" ht="12.95" customHeight="1" x14ac:dyDescent="0.2">
      <c r="B104" s="63"/>
    </row>
    <row r="105" spans="2:2" ht="12.95" customHeight="1" x14ac:dyDescent="0.2">
      <c r="B105" s="63"/>
    </row>
    <row r="106" spans="2:2" ht="12.95" customHeight="1" x14ac:dyDescent="0.2">
      <c r="B106" s="63"/>
    </row>
    <row r="107" spans="2:2" ht="12.95" customHeight="1" x14ac:dyDescent="0.2">
      <c r="B107" s="63"/>
    </row>
    <row r="108" spans="2:2" ht="12.95" customHeight="1" x14ac:dyDescent="0.2">
      <c r="B108" s="63"/>
    </row>
    <row r="109" spans="2:2" ht="12.95" customHeight="1" x14ac:dyDescent="0.2">
      <c r="B109" s="63"/>
    </row>
    <row r="110" spans="2:2" ht="12.95" customHeight="1" x14ac:dyDescent="0.2">
      <c r="B110" s="63"/>
    </row>
    <row r="111" spans="2:2" ht="12.95" customHeight="1" x14ac:dyDescent="0.2">
      <c r="B111" s="63"/>
    </row>
    <row r="112" spans="2:2" ht="12.95" customHeight="1" x14ac:dyDescent="0.2">
      <c r="B112" s="63"/>
    </row>
    <row r="113" spans="2:2" ht="12.95" customHeight="1" x14ac:dyDescent="0.2">
      <c r="B113" s="63"/>
    </row>
    <row r="114" spans="2:2" ht="12.95" customHeight="1" x14ac:dyDescent="0.2">
      <c r="B114" s="63"/>
    </row>
    <row r="115" spans="2:2" ht="12.95" customHeight="1" x14ac:dyDescent="0.2">
      <c r="B115" s="63"/>
    </row>
    <row r="116" spans="2:2" ht="12.95" customHeight="1" x14ac:dyDescent="0.2">
      <c r="B116" s="63"/>
    </row>
    <row r="117" spans="2:2" ht="12.95" customHeight="1" x14ac:dyDescent="0.2">
      <c r="B117" s="63"/>
    </row>
    <row r="118" spans="2:2" ht="12.95" customHeight="1" x14ac:dyDescent="0.2">
      <c r="B118" s="63"/>
    </row>
    <row r="119" spans="2:2" ht="12.95" customHeight="1" x14ac:dyDescent="0.2">
      <c r="B119" s="63"/>
    </row>
    <row r="120" spans="2:2" ht="12.95" customHeight="1" x14ac:dyDescent="0.2">
      <c r="B120" s="63"/>
    </row>
    <row r="121" spans="2:2" ht="12.95" customHeight="1" x14ac:dyDescent="0.2">
      <c r="B121" s="63"/>
    </row>
    <row r="122" spans="2:2" ht="12.95" customHeight="1" x14ac:dyDescent="0.2">
      <c r="B122" s="63"/>
    </row>
    <row r="123" spans="2:2" ht="12.95" customHeight="1" x14ac:dyDescent="0.2">
      <c r="B123" s="63"/>
    </row>
    <row r="124" spans="2:2" ht="12.95" customHeight="1" x14ac:dyDescent="0.2">
      <c r="B124" s="63"/>
    </row>
    <row r="125" spans="2:2" ht="12.95" customHeight="1" x14ac:dyDescent="0.2">
      <c r="B125" s="63"/>
    </row>
    <row r="126" spans="2:2" ht="12.95" customHeight="1" x14ac:dyDescent="0.2">
      <c r="B126" s="63"/>
    </row>
    <row r="127" spans="2:2" ht="12.95" customHeight="1" x14ac:dyDescent="0.2">
      <c r="B127" s="63"/>
    </row>
    <row r="128" spans="2:2" ht="12.95" customHeight="1" x14ac:dyDescent="0.2">
      <c r="B128" s="63"/>
    </row>
    <row r="129" spans="2:2" ht="12.95" customHeight="1" x14ac:dyDescent="0.2">
      <c r="B129" s="63"/>
    </row>
    <row r="130" spans="2:2" ht="12.95" customHeight="1" x14ac:dyDescent="0.2">
      <c r="B130" s="63"/>
    </row>
    <row r="131" spans="2:2" ht="12.95" customHeight="1" x14ac:dyDescent="0.2">
      <c r="B131" s="63"/>
    </row>
    <row r="132" spans="2:2" ht="12.95" customHeight="1" x14ac:dyDescent="0.2">
      <c r="B132" s="63"/>
    </row>
    <row r="133" spans="2:2" ht="12.95" customHeight="1" x14ac:dyDescent="0.2">
      <c r="B133" s="63"/>
    </row>
    <row r="134" spans="2:2" ht="12.95" customHeight="1" x14ac:dyDescent="0.2">
      <c r="B134" s="63"/>
    </row>
    <row r="135" spans="2:2" ht="12.95" customHeight="1" x14ac:dyDescent="0.2">
      <c r="B135" s="63"/>
    </row>
    <row r="136" spans="2:2" ht="12.95" customHeight="1" x14ac:dyDescent="0.2">
      <c r="B136" s="63"/>
    </row>
    <row r="137" spans="2:2" ht="12.95" customHeight="1" x14ac:dyDescent="0.2">
      <c r="B137" s="63"/>
    </row>
    <row r="138" spans="2:2" ht="12.95" customHeight="1" x14ac:dyDescent="0.2">
      <c r="B138" s="63"/>
    </row>
    <row r="139" spans="2:2" ht="12.95" customHeight="1" x14ac:dyDescent="0.2">
      <c r="B139" s="63"/>
    </row>
    <row r="140" spans="2:2" ht="12.95" customHeight="1" x14ac:dyDescent="0.2">
      <c r="B140" s="63"/>
    </row>
    <row r="141" spans="2:2" ht="12.95" customHeight="1" x14ac:dyDescent="0.2">
      <c r="B141" s="63"/>
    </row>
    <row r="142" spans="2:2" ht="12.95" customHeight="1" x14ac:dyDescent="0.2">
      <c r="B142" s="63"/>
    </row>
    <row r="143" spans="2:2" ht="12.95" customHeight="1" x14ac:dyDescent="0.2">
      <c r="B143" s="63"/>
    </row>
    <row r="144" spans="2:2" ht="12.95" customHeight="1" x14ac:dyDescent="0.2">
      <c r="B144" s="63"/>
    </row>
    <row r="145" spans="2:2" ht="12.95" customHeight="1" x14ac:dyDescent="0.2">
      <c r="B145" s="63"/>
    </row>
    <row r="146" spans="2:2" ht="12.95" customHeight="1" x14ac:dyDescent="0.2">
      <c r="B146" s="63"/>
    </row>
    <row r="147" spans="2:2" ht="12.95" customHeight="1" x14ac:dyDescent="0.2">
      <c r="B147" s="63"/>
    </row>
    <row r="148" spans="2:2" ht="12.95" customHeight="1" x14ac:dyDescent="0.2">
      <c r="B148" s="63"/>
    </row>
    <row r="149" spans="2:2" ht="12.95" customHeight="1" x14ac:dyDescent="0.2">
      <c r="B149" s="63"/>
    </row>
    <row r="150" spans="2:2" ht="12.95" customHeight="1" x14ac:dyDescent="0.2">
      <c r="B150" s="63"/>
    </row>
    <row r="151" spans="2:2" ht="12.95" customHeight="1" x14ac:dyDescent="0.2">
      <c r="B151" s="63"/>
    </row>
    <row r="152" spans="2:2" ht="12.95" customHeight="1" x14ac:dyDescent="0.2">
      <c r="B152" s="63"/>
    </row>
    <row r="153" spans="2:2" ht="12.95" customHeight="1" x14ac:dyDescent="0.2">
      <c r="B153" s="63"/>
    </row>
    <row r="154" spans="2:2" ht="12.95" customHeight="1" x14ac:dyDescent="0.2">
      <c r="B154" s="63"/>
    </row>
    <row r="155" spans="2:2" ht="12.95" customHeight="1" x14ac:dyDescent="0.2">
      <c r="B155" s="63"/>
    </row>
    <row r="156" spans="2:2" ht="12.95" customHeight="1" x14ac:dyDescent="0.2">
      <c r="B156" s="63"/>
    </row>
    <row r="157" spans="2:2" ht="12.95" customHeight="1" x14ac:dyDescent="0.2">
      <c r="B157" s="63"/>
    </row>
    <row r="158" spans="2:2" ht="12.95" customHeight="1" x14ac:dyDescent="0.2">
      <c r="B158" s="63"/>
    </row>
    <row r="159" spans="2:2" ht="12.95" customHeight="1" x14ac:dyDescent="0.2">
      <c r="B159" s="63"/>
    </row>
    <row r="160" spans="2:2" ht="12.95" customHeight="1" x14ac:dyDescent="0.2">
      <c r="B160" s="63"/>
    </row>
    <row r="161" spans="2:2" ht="12.95" customHeight="1" x14ac:dyDescent="0.2">
      <c r="B161" s="63"/>
    </row>
    <row r="162" spans="2:2" ht="12.95" customHeight="1" x14ac:dyDescent="0.2">
      <c r="B162" s="63"/>
    </row>
    <row r="163" spans="2:2" ht="12.95" customHeight="1" x14ac:dyDescent="0.2">
      <c r="B163" s="63"/>
    </row>
    <row r="164" spans="2:2" ht="12.95" customHeight="1" x14ac:dyDescent="0.2">
      <c r="B164" s="63"/>
    </row>
    <row r="165" spans="2:2" ht="12.95" customHeight="1" x14ac:dyDescent="0.2">
      <c r="B165" s="63"/>
    </row>
    <row r="166" spans="2:2" ht="12.95" customHeight="1" x14ac:dyDescent="0.2">
      <c r="B166" s="63"/>
    </row>
    <row r="167" spans="2:2" ht="12.95" customHeight="1" x14ac:dyDescent="0.2">
      <c r="B167" s="63"/>
    </row>
    <row r="168" spans="2:2" ht="12.95" customHeight="1" x14ac:dyDescent="0.2">
      <c r="B168" s="63"/>
    </row>
    <row r="169" spans="2:2" ht="12.95" customHeight="1" x14ac:dyDescent="0.2">
      <c r="B169" s="63"/>
    </row>
    <row r="170" spans="2:2" ht="12.95" customHeight="1" x14ac:dyDescent="0.2">
      <c r="B170" s="63"/>
    </row>
    <row r="171" spans="2:2" ht="12.95" customHeight="1" x14ac:dyDescent="0.2">
      <c r="B171" s="63"/>
    </row>
    <row r="172" spans="2:2" ht="12.95" customHeight="1" x14ac:dyDescent="0.2">
      <c r="B172" s="63"/>
    </row>
    <row r="173" spans="2:2" ht="12.95" customHeight="1" x14ac:dyDescent="0.2">
      <c r="B173" s="63"/>
    </row>
    <row r="174" spans="2:2" ht="12.95" customHeight="1" x14ac:dyDescent="0.2">
      <c r="B174" s="63"/>
    </row>
    <row r="175" spans="2:2" ht="12.95" customHeight="1" x14ac:dyDescent="0.2">
      <c r="B175" s="63"/>
    </row>
    <row r="176" spans="2:2" ht="12.95" customHeight="1" x14ac:dyDescent="0.2">
      <c r="B176" s="63"/>
    </row>
    <row r="177" spans="2:2" ht="12.95" customHeight="1" x14ac:dyDescent="0.2">
      <c r="B177" s="63"/>
    </row>
    <row r="178" spans="2:2" ht="12.95" customHeight="1" x14ac:dyDescent="0.2">
      <c r="B178" s="63"/>
    </row>
    <row r="179" spans="2:2" ht="12.95" customHeight="1" x14ac:dyDescent="0.2">
      <c r="B179" s="63"/>
    </row>
    <row r="180" spans="2:2" ht="12.95" customHeight="1" x14ac:dyDescent="0.2">
      <c r="B180" s="63"/>
    </row>
    <row r="181" spans="2:2" ht="12.95" customHeight="1" x14ac:dyDescent="0.2">
      <c r="B181" s="63"/>
    </row>
    <row r="182" spans="2:2" ht="12.95" customHeight="1" x14ac:dyDescent="0.2">
      <c r="B182" s="63"/>
    </row>
    <row r="183" spans="2:2" ht="12.95" customHeight="1" x14ac:dyDescent="0.2">
      <c r="B183" s="63"/>
    </row>
    <row r="184" spans="2:2" ht="12.95" customHeight="1" x14ac:dyDescent="0.2">
      <c r="B184" s="63"/>
    </row>
    <row r="185" spans="2:2" ht="12.95" customHeight="1" x14ac:dyDescent="0.2">
      <c r="B185" s="63"/>
    </row>
    <row r="186" spans="2:2" ht="12.95" customHeight="1" x14ac:dyDescent="0.2">
      <c r="B186" s="63"/>
    </row>
    <row r="187" spans="2:2" ht="12.95" customHeight="1" x14ac:dyDescent="0.2">
      <c r="B187" s="63"/>
    </row>
    <row r="188" spans="2:2" ht="12.95" customHeight="1" x14ac:dyDescent="0.2">
      <c r="B188" s="63"/>
    </row>
    <row r="189" spans="2:2" ht="12.95" customHeight="1" x14ac:dyDescent="0.2">
      <c r="B189" s="63"/>
    </row>
    <row r="190" spans="2:2" ht="12.95" customHeight="1" x14ac:dyDescent="0.2">
      <c r="B190" s="63"/>
    </row>
    <row r="191" spans="2:2" ht="12.95" customHeight="1" x14ac:dyDescent="0.2">
      <c r="B191" s="63"/>
    </row>
    <row r="192" spans="2:2" ht="12.95" customHeight="1" x14ac:dyDescent="0.2">
      <c r="B192" s="63"/>
    </row>
    <row r="193" spans="2:2" ht="12.95" customHeight="1" x14ac:dyDescent="0.2">
      <c r="B193" s="63"/>
    </row>
    <row r="194" spans="2:2" ht="12.95" customHeight="1" x14ac:dyDescent="0.2">
      <c r="B194" s="63"/>
    </row>
    <row r="195" spans="2:2" ht="12.95" customHeight="1" x14ac:dyDescent="0.2">
      <c r="B195" s="63"/>
    </row>
    <row r="196" spans="2:2" ht="12.95" customHeight="1" x14ac:dyDescent="0.2">
      <c r="B196" s="63"/>
    </row>
    <row r="197" spans="2:2" ht="12.95" customHeight="1" x14ac:dyDescent="0.2">
      <c r="B197" s="63"/>
    </row>
    <row r="198" spans="2:2" ht="12.95" customHeight="1" x14ac:dyDescent="0.2">
      <c r="B198" s="63"/>
    </row>
    <row r="199" spans="2:2" ht="12.95" customHeight="1" x14ac:dyDescent="0.2">
      <c r="B199" s="63"/>
    </row>
    <row r="200" spans="2:2" ht="12.95" customHeight="1" x14ac:dyDescent="0.2">
      <c r="B200" s="63"/>
    </row>
    <row r="201" spans="2:2" ht="12.95" customHeight="1" x14ac:dyDescent="0.2">
      <c r="B201" s="63"/>
    </row>
    <row r="202" spans="2:2" ht="12.95" customHeight="1" x14ac:dyDescent="0.2">
      <c r="B202" s="63"/>
    </row>
    <row r="203" spans="2:2" ht="12.95" customHeight="1" x14ac:dyDescent="0.2">
      <c r="B203" s="63"/>
    </row>
    <row r="204" spans="2:2" ht="12.95" customHeight="1" x14ac:dyDescent="0.2">
      <c r="B204" s="63"/>
    </row>
    <row r="205" spans="2:2" ht="12.95" customHeight="1" x14ac:dyDescent="0.2">
      <c r="B205" s="63"/>
    </row>
    <row r="206" spans="2:2" ht="12.95" customHeight="1" x14ac:dyDescent="0.2">
      <c r="B206" s="63"/>
    </row>
    <row r="207" spans="2:2" ht="12.95" customHeight="1" x14ac:dyDescent="0.2">
      <c r="B207" s="63"/>
    </row>
    <row r="208" spans="2:2" ht="12.95" customHeight="1" x14ac:dyDescent="0.2">
      <c r="B208" s="63"/>
    </row>
    <row r="209" spans="2:2" ht="12.95" customHeight="1" x14ac:dyDescent="0.2">
      <c r="B209" s="63"/>
    </row>
    <row r="210" spans="2:2" ht="12.95" customHeight="1" x14ac:dyDescent="0.2">
      <c r="B210" s="63"/>
    </row>
  </sheetData>
  <protectedRanges>
    <protectedRange sqref="A73:D74" name="Range1"/>
  </protectedRanges>
  <sortState xmlns:xlrd2="http://schemas.microsoft.com/office/spreadsheetml/2017/richdata2" ref="A21:X78">
    <sortCondition ref="C21:C78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selection activeCell="A17" sqref="A17:C1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50</v>
      </c>
      <c r="B1" s="1"/>
    </row>
    <row r="2" spans="1:5" x14ac:dyDescent="0.2">
      <c r="A2" t="s">
        <v>51</v>
      </c>
      <c r="B2" t="s">
        <v>52</v>
      </c>
    </row>
    <row r="3" spans="1:5" x14ac:dyDescent="0.2">
      <c r="C3" s="32"/>
    </row>
    <row r="4" spans="1:5" x14ac:dyDescent="0.2">
      <c r="A4" s="8" t="s">
        <v>0</v>
      </c>
      <c r="B4" s="8"/>
      <c r="C4" s="34" t="s">
        <v>53</v>
      </c>
      <c r="D4" s="35" t="s">
        <v>54</v>
      </c>
    </row>
    <row r="6" spans="1:5" x14ac:dyDescent="0.2">
      <c r="A6" s="8" t="s">
        <v>1</v>
      </c>
      <c r="B6" s="8"/>
    </row>
    <row r="7" spans="1:5" x14ac:dyDescent="0.2">
      <c r="A7" t="s">
        <v>2</v>
      </c>
      <c r="C7" s="36">
        <v>48500.351000000002</v>
      </c>
    </row>
    <row r="8" spans="1:5" x14ac:dyDescent="0.2">
      <c r="A8" t="s">
        <v>3</v>
      </c>
      <c r="C8" s="33">
        <v>0.45696707399999997</v>
      </c>
    </row>
    <row r="9" spans="1:5" x14ac:dyDescent="0.2">
      <c r="A9" s="30" t="s">
        <v>47</v>
      </c>
      <c r="C9" s="27">
        <v>8</v>
      </c>
      <c r="D9" t="s">
        <v>48</v>
      </c>
    </row>
    <row r="10" spans="1:5" ht="13.5" thickBot="1" x14ac:dyDescent="0.25">
      <c r="C10" s="7" t="s">
        <v>20</v>
      </c>
      <c r="D10" s="7" t="s">
        <v>21</v>
      </c>
    </row>
    <row r="11" spans="1:5" x14ac:dyDescent="0.2">
      <c r="A11" t="s">
        <v>16</v>
      </c>
      <c r="C11">
        <f>INTERCEPT(G21:G996,F21:F996)</f>
        <v>1.7811706801754131E-3</v>
      </c>
      <c r="D11" s="6"/>
    </row>
    <row r="12" spans="1:5" x14ac:dyDescent="0.2">
      <c r="A12" t="s">
        <v>17</v>
      </c>
      <c r="C12">
        <f>SLOPE(G21:G996,F21:F996)</f>
        <v>-3.6012609466746683E-7</v>
      </c>
      <c r="D12" s="6"/>
    </row>
    <row r="13" spans="1:5" x14ac:dyDescent="0.2">
      <c r="A13" t="s">
        <v>19</v>
      </c>
      <c r="C13" s="6" t="s">
        <v>14</v>
      </c>
      <c r="D13" s="6"/>
    </row>
    <row r="15" spans="1:5" x14ac:dyDescent="0.2">
      <c r="A15" s="5" t="s">
        <v>18</v>
      </c>
      <c r="C15" s="22">
        <f>(C7+C11)+(C8+C12)*INT(MAX(F21:F3533))</f>
        <v>53082.358021184329</v>
      </c>
      <c r="D15" s="26" t="s">
        <v>44</v>
      </c>
      <c r="E15" s="28">
        <f ca="1">TODAY()+15018.5-B9/24</f>
        <v>60357.5</v>
      </c>
    </row>
    <row r="16" spans="1:5" x14ac:dyDescent="0.2">
      <c r="A16" s="8" t="s">
        <v>4</v>
      </c>
      <c r="C16" s="23">
        <f>+C8+C12</f>
        <v>0.45696671387390531</v>
      </c>
      <c r="D16" s="26" t="s">
        <v>46</v>
      </c>
      <c r="E16" s="28">
        <f ca="1">ROUND(2*(E15-C15)/C16,0)/2+1</f>
        <v>15921.5</v>
      </c>
    </row>
    <row r="17" spans="1:17" ht="13.5" thickBot="1" x14ac:dyDescent="0.25">
      <c r="A17" s="26" t="s">
        <v>43</v>
      </c>
      <c r="C17">
        <f>COUNT(C21:C2191)</f>
        <v>15</v>
      </c>
      <c r="D17" s="26" t="s">
        <v>45</v>
      </c>
      <c r="E17" s="29">
        <f ca="1">+C15+C16*E16-15018.5-C9/24</f>
        <v>45339.12022279438</v>
      </c>
    </row>
    <row r="18" spans="1:17" x14ac:dyDescent="0.2">
      <c r="A18" s="8" t="s">
        <v>5</v>
      </c>
      <c r="C18" s="3">
        <f>+C15</f>
        <v>53082.358021184329</v>
      </c>
      <c r="D18" s="4">
        <f>+C16</f>
        <v>0.45696671387390531</v>
      </c>
      <c r="E18" s="31" t="s">
        <v>49</v>
      </c>
    </row>
    <row r="19" spans="1:17" ht="13.5" thickTop="1" x14ac:dyDescent="0.2"/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55</v>
      </c>
      <c r="I20" s="10" t="s">
        <v>56</v>
      </c>
      <c r="J20" s="10" t="s">
        <v>40</v>
      </c>
      <c r="K20" s="10" t="s">
        <v>42</v>
      </c>
      <c r="L20" s="10" t="s">
        <v>24</v>
      </c>
      <c r="M20" s="10" t="s">
        <v>58</v>
      </c>
      <c r="N20" s="10" t="s">
        <v>25</v>
      </c>
      <c r="O20" s="10" t="s">
        <v>23</v>
      </c>
      <c r="P20" s="9" t="s">
        <v>22</v>
      </c>
      <c r="Q20" s="7" t="s">
        <v>15</v>
      </c>
    </row>
    <row r="21" spans="1:17" x14ac:dyDescent="0.2">
      <c r="A21" t="s">
        <v>55</v>
      </c>
      <c r="B21" t="s">
        <v>36</v>
      </c>
      <c r="C21" s="36">
        <v>48500.351000000002</v>
      </c>
      <c r="D21" s="36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1.7811706801754131E-3</v>
      </c>
      <c r="Q21" s="2">
        <f>+C21-15018.5</f>
        <v>33481.851000000002</v>
      </c>
    </row>
    <row r="22" spans="1:17" x14ac:dyDescent="0.2">
      <c r="A22" t="s">
        <v>56</v>
      </c>
      <c r="B22" t="s">
        <v>37</v>
      </c>
      <c r="C22" s="36">
        <v>51328.753299999997</v>
      </c>
      <c r="D22" s="36"/>
      <c r="E22">
        <f t="shared" ref="E22:E35" si="0">+(C22-C$7)/C$8</f>
        <v>6189.5100564728973</v>
      </c>
      <c r="F22">
        <f t="shared" ref="F22:F35" si="1">ROUND(2*E22,0)/2</f>
        <v>6189.5</v>
      </c>
      <c r="G22">
        <f t="shared" ref="G22:G35" si="2">+C22-(C$7+F22*C$8)</f>
        <v>4.5954769957461394E-3</v>
      </c>
      <c r="I22">
        <f>+G22</f>
        <v>4.5954769957461394E-3</v>
      </c>
      <c r="O22">
        <f t="shared" ref="O22:O35" si="3">+C$11+C$12*F22</f>
        <v>-4.4782978276887279E-4</v>
      </c>
      <c r="Q22" s="2">
        <f t="shared" ref="Q22:Q35" si="4">+C22-15018.5</f>
        <v>36310.253299999997</v>
      </c>
    </row>
    <row r="23" spans="1:17" x14ac:dyDescent="0.2">
      <c r="A23" t="s">
        <v>56</v>
      </c>
      <c r="B23" t="s">
        <v>36</v>
      </c>
      <c r="C23" s="36">
        <v>51616.87</v>
      </c>
      <c r="D23" s="36"/>
      <c r="E23">
        <f t="shared" si="0"/>
        <v>6820.0077802542082</v>
      </c>
      <c r="F23">
        <f t="shared" si="1"/>
        <v>6820</v>
      </c>
      <c r="G23">
        <f t="shared" si="2"/>
        <v>3.5553199995774776E-3</v>
      </c>
      <c r="I23">
        <f>+G23</f>
        <v>3.5553199995774776E-3</v>
      </c>
      <c r="O23">
        <f t="shared" si="3"/>
        <v>-6.748892854567107E-4</v>
      </c>
      <c r="Q23" s="2">
        <f t="shared" si="4"/>
        <v>36598.370000000003</v>
      </c>
    </row>
    <row r="24" spans="1:17" x14ac:dyDescent="0.2">
      <c r="A24" s="37" t="s">
        <v>57</v>
      </c>
      <c r="B24" s="24" t="s">
        <v>36</v>
      </c>
      <c r="C24" s="20">
        <v>52322.420700000002</v>
      </c>
      <c r="D24" s="20">
        <v>2.0000000000000001E-4</v>
      </c>
      <c r="E24">
        <f t="shared" si="0"/>
        <v>8363.9936386313911</v>
      </c>
      <c r="F24">
        <f t="shared" si="1"/>
        <v>8364</v>
      </c>
      <c r="G24">
        <f t="shared" si="2"/>
        <v>-2.90693600254599E-3</v>
      </c>
      <c r="J24">
        <f t="shared" ref="J24:J34" si="5">+G24</f>
        <v>-2.90693600254599E-3</v>
      </c>
      <c r="O24">
        <f t="shared" si="3"/>
        <v>-1.2309239756232795E-3</v>
      </c>
      <c r="Q24" s="2">
        <f t="shared" si="4"/>
        <v>37303.920700000002</v>
      </c>
    </row>
    <row r="25" spans="1:17" x14ac:dyDescent="0.2">
      <c r="A25" s="37" t="s">
        <v>57</v>
      </c>
      <c r="B25" s="24" t="s">
        <v>36</v>
      </c>
      <c r="C25" s="20">
        <v>52323.334900000002</v>
      </c>
      <c r="D25" s="20">
        <v>5.9999999999999995E-4</v>
      </c>
      <c r="E25">
        <f t="shared" si="0"/>
        <v>8365.9942204063464</v>
      </c>
      <c r="F25">
        <f t="shared" si="1"/>
        <v>8366</v>
      </c>
      <c r="G25">
        <f t="shared" si="2"/>
        <v>-2.6410840000608005E-3</v>
      </c>
      <c r="J25">
        <f t="shared" si="5"/>
        <v>-2.6410840000608005E-3</v>
      </c>
      <c r="O25">
        <f t="shared" si="3"/>
        <v>-1.2316442278126145E-3</v>
      </c>
      <c r="Q25" s="2">
        <f t="shared" si="4"/>
        <v>37304.834900000002</v>
      </c>
    </row>
    <row r="26" spans="1:17" x14ac:dyDescent="0.2">
      <c r="A26" s="37" t="s">
        <v>57</v>
      </c>
      <c r="B26" s="24" t="s">
        <v>36</v>
      </c>
      <c r="C26" s="20">
        <v>52353.492100000003</v>
      </c>
      <c r="D26" s="20">
        <v>2.9999999999999997E-4</v>
      </c>
      <c r="E26">
        <f t="shared" si="0"/>
        <v>8431.9884718871472</v>
      </c>
      <c r="F26">
        <f t="shared" si="1"/>
        <v>8432</v>
      </c>
      <c r="G26">
        <f t="shared" si="2"/>
        <v>-5.2679680011351593E-3</v>
      </c>
      <c r="J26">
        <f t="shared" si="5"/>
        <v>-5.2679680011351593E-3</v>
      </c>
      <c r="O26">
        <f t="shared" si="3"/>
        <v>-1.2554125500606674E-3</v>
      </c>
      <c r="Q26" s="2">
        <f t="shared" si="4"/>
        <v>37334.992100000003</v>
      </c>
    </row>
    <row r="27" spans="1:17" x14ac:dyDescent="0.2">
      <c r="A27" s="37" t="s">
        <v>57</v>
      </c>
      <c r="B27" s="24" t="s">
        <v>36</v>
      </c>
      <c r="C27" s="20">
        <v>52364.464</v>
      </c>
      <c r="D27" s="20">
        <v>2.9999999999999997E-4</v>
      </c>
      <c r="E27">
        <f t="shared" si="0"/>
        <v>8455.9987356988386</v>
      </c>
      <c r="F27">
        <f t="shared" si="1"/>
        <v>8456</v>
      </c>
      <c r="G27">
        <f t="shared" si="2"/>
        <v>-5.7774400193011388E-4</v>
      </c>
      <c r="J27">
        <f t="shared" si="5"/>
        <v>-5.7774400193011388E-4</v>
      </c>
      <c r="O27">
        <f t="shared" si="3"/>
        <v>-1.2640555763326867E-3</v>
      </c>
      <c r="Q27" s="2">
        <f t="shared" si="4"/>
        <v>37345.964</v>
      </c>
    </row>
    <row r="28" spans="1:17" x14ac:dyDescent="0.2">
      <c r="A28" s="37" t="s">
        <v>57</v>
      </c>
      <c r="B28" s="24" t="s">
        <v>36</v>
      </c>
      <c r="C28" s="20">
        <v>52391.422200000001</v>
      </c>
      <c r="D28" s="20">
        <v>8.0000000000000004E-4</v>
      </c>
      <c r="E28">
        <f t="shared" si="0"/>
        <v>8514.9924828063195</v>
      </c>
      <c r="F28">
        <f t="shared" si="1"/>
        <v>8515</v>
      </c>
      <c r="G28">
        <f t="shared" si="2"/>
        <v>-3.435110003920272E-3</v>
      </c>
      <c r="J28">
        <f t="shared" si="5"/>
        <v>-3.435110003920272E-3</v>
      </c>
      <c r="O28">
        <f t="shared" si="3"/>
        <v>-1.2853030159180672E-3</v>
      </c>
      <c r="Q28" s="2">
        <f t="shared" si="4"/>
        <v>37372.922200000001</v>
      </c>
    </row>
    <row r="29" spans="1:17" x14ac:dyDescent="0.2">
      <c r="A29" s="37" t="s">
        <v>57</v>
      </c>
      <c r="B29" s="24" t="s">
        <v>36</v>
      </c>
      <c r="C29" s="20">
        <v>52397.3629</v>
      </c>
      <c r="D29" s="20">
        <v>1E-4</v>
      </c>
      <c r="E29">
        <f t="shared" si="0"/>
        <v>8527.9927629971826</v>
      </c>
      <c r="F29">
        <f t="shared" si="1"/>
        <v>8528</v>
      </c>
      <c r="G29">
        <f t="shared" si="2"/>
        <v>-3.307072001916822E-3</v>
      </c>
      <c r="J29">
        <f t="shared" si="5"/>
        <v>-3.307072001916822E-3</v>
      </c>
      <c r="O29">
        <f t="shared" si="3"/>
        <v>-1.2899846551487442E-3</v>
      </c>
      <c r="Q29" s="2">
        <f t="shared" si="4"/>
        <v>37378.8629</v>
      </c>
    </row>
    <row r="30" spans="1:17" x14ac:dyDescent="0.2">
      <c r="A30" s="37" t="s">
        <v>57</v>
      </c>
      <c r="B30" s="24" t="s">
        <v>37</v>
      </c>
      <c r="C30" s="20">
        <v>52399.420400000003</v>
      </c>
      <c r="D30" s="20">
        <v>4.0000000000000002E-4</v>
      </c>
      <c r="E30">
        <f t="shared" si="0"/>
        <v>8532.4952755786526</v>
      </c>
      <c r="F30">
        <f t="shared" si="1"/>
        <v>8532.5</v>
      </c>
      <c r="G30">
        <f t="shared" si="2"/>
        <v>-2.1589050011243671E-3</v>
      </c>
      <c r="J30">
        <f t="shared" si="5"/>
        <v>-2.1589050011243671E-3</v>
      </c>
      <c r="O30">
        <f t="shared" si="3"/>
        <v>-1.2916052225747478E-3</v>
      </c>
      <c r="Q30" s="2">
        <f t="shared" si="4"/>
        <v>37380.920400000003</v>
      </c>
    </row>
    <row r="31" spans="1:17" x14ac:dyDescent="0.2">
      <c r="A31" s="37" t="s">
        <v>57</v>
      </c>
      <c r="B31" s="24" t="s">
        <v>37</v>
      </c>
      <c r="C31" s="20">
        <v>52692.339699999997</v>
      </c>
      <c r="D31" s="20">
        <v>2.9999999999999997E-4</v>
      </c>
      <c r="E31">
        <f t="shared" si="0"/>
        <v>9173.5027281199582</v>
      </c>
      <c r="F31">
        <f t="shared" si="1"/>
        <v>9173.5</v>
      </c>
      <c r="G31">
        <f t="shared" si="2"/>
        <v>1.2466609914554283E-3</v>
      </c>
      <c r="J31">
        <f t="shared" si="5"/>
        <v>1.2466609914554283E-3</v>
      </c>
      <c r="O31">
        <f t="shared" si="3"/>
        <v>-1.522446049256594E-3</v>
      </c>
      <c r="Q31" s="2">
        <f t="shared" si="4"/>
        <v>37673.839699999997</v>
      </c>
    </row>
    <row r="32" spans="1:17" x14ac:dyDescent="0.2">
      <c r="A32" s="37" t="s">
        <v>57</v>
      </c>
      <c r="B32" s="24" t="s">
        <v>37</v>
      </c>
      <c r="C32" s="20">
        <v>52697.365400000002</v>
      </c>
      <c r="D32" s="20">
        <v>6.9999999999999999E-4</v>
      </c>
      <c r="E32">
        <f t="shared" si="0"/>
        <v>9184.5006758627005</v>
      </c>
      <c r="F32">
        <f t="shared" si="1"/>
        <v>9184.5</v>
      </c>
      <c r="G32">
        <f t="shared" si="2"/>
        <v>3.0884700390743092E-4</v>
      </c>
      <c r="J32">
        <f t="shared" si="5"/>
        <v>3.0884700390743092E-4</v>
      </c>
      <c r="O32">
        <f t="shared" si="3"/>
        <v>-1.526407436297936E-3</v>
      </c>
      <c r="Q32" s="2">
        <f t="shared" si="4"/>
        <v>37678.865400000002</v>
      </c>
    </row>
    <row r="33" spans="1:17" x14ac:dyDescent="0.2">
      <c r="A33" s="37" t="s">
        <v>57</v>
      </c>
      <c r="B33" s="24" t="s">
        <v>36</v>
      </c>
      <c r="C33" s="20">
        <v>52697.591800000002</v>
      </c>
      <c r="D33" s="20">
        <v>5.0000000000000001E-4</v>
      </c>
      <c r="E33">
        <f t="shared" si="0"/>
        <v>9184.996116372271</v>
      </c>
      <c r="F33">
        <f t="shared" si="1"/>
        <v>9185</v>
      </c>
      <c r="G33">
        <f t="shared" si="2"/>
        <v>-1.7746899975463748E-3</v>
      </c>
      <c r="J33">
        <f t="shared" si="5"/>
        <v>-1.7746899975463748E-3</v>
      </c>
      <c r="O33">
        <f t="shared" si="3"/>
        <v>-1.5265874993452696E-3</v>
      </c>
      <c r="Q33" s="2">
        <f t="shared" si="4"/>
        <v>37679.091800000002</v>
      </c>
    </row>
    <row r="34" spans="1:17" x14ac:dyDescent="0.2">
      <c r="A34" s="37" t="s">
        <v>57</v>
      </c>
      <c r="B34" s="24" t="s">
        <v>36</v>
      </c>
      <c r="C34" s="20">
        <v>52698.505100000002</v>
      </c>
      <c r="D34" s="20">
        <v>2.9999999999999997E-4</v>
      </c>
      <c r="E34">
        <f t="shared" si="0"/>
        <v>9186.994728639902</v>
      </c>
      <c r="F34">
        <f t="shared" si="1"/>
        <v>9187</v>
      </c>
      <c r="G34">
        <f t="shared" si="2"/>
        <v>-2.4088380014291033E-3</v>
      </c>
      <c r="J34">
        <f t="shared" si="5"/>
        <v>-2.4088380014291033E-3</v>
      </c>
      <c r="O34">
        <f t="shared" si="3"/>
        <v>-1.5273077515346046E-3</v>
      </c>
      <c r="Q34" s="2">
        <f t="shared" si="4"/>
        <v>37680.005100000002</v>
      </c>
    </row>
    <row r="35" spans="1:17" x14ac:dyDescent="0.2">
      <c r="A35" t="s">
        <v>42</v>
      </c>
      <c r="B35" t="s">
        <v>36</v>
      </c>
      <c r="C35" s="36">
        <v>53082.358500000002</v>
      </c>
      <c r="D35" s="36">
        <v>2.9999999999999997E-4</v>
      </c>
      <c r="E35">
        <f t="shared" si="0"/>
        <v>10026.997043555046</v>
      </c>
      <c r="F35">
        <f t="shared" si="1"/>
        <v>10027</v>
      </c>
      <c r="G35">
        <f t="shared" si="2"/>
        <v>-1.3509979980881326E-3</v>
      </c>
      <c r="K35">
        <f>+G35</f>
        <v>-1.3509979980881326E-3</v>
      </c>
      <c r="O35">
        <f t="shared" si="3"/>
        <v>-1.8298136710552767E-3</v>
      </c>
      <c r="Q35" s="2">
        <f t="shared" si="4"/>
        <v>38063.858500000002</v>
      </c>
    </row>
    <row r="36" spans="1:17" x14ac:dyDescent="0.2">
      <c r="C36" s="20"/>
      <c r="D36" s="20"/>
      <c r="Q36" s="2"/>
    </row>
    <row r="37" spans="1:17" x14ac:dyDescent="0.2">
      <c r="A37" s="12"/>
      <c r="C37" s="20"/>
      <c r="D37" s="20"/>
      <c r="Q37" s="2"/>
    </row>
    <row r="38" spans="1:17" x14ac:dyDescent="0.2">
      <c r="C38" s="20"/>
      <c r="D38" s="20"/>
      <c r="Q38" s="2"/>
    </row>
    <row r="39" spans="1:17" x14ac:dyDescent="0.2">
      <c r="C39" s="20"/>
      <c r="D39" s="20"/>
      <c r="Q39" s="2"/>
    </row>
    <row r="40" spans="1:17" x14ac:dyDescent="0.2">
      <c r="C40" s="20"/>
      <c r="D40" s="20"/>
      <c r="E40" s="13"/>
      <c r="G40" s="14"/>
      <c r="K40" s="14"/>
      <c r="Q40" s="2"/>
    </row>
    <row r="41" spans="1:17" x14ac:dyDescent="0.2">
      <c r="C41" s="20"/>
      <c r="D41" s="20"/>
      <c r="Q41" s="2"/>
    </row>
    <row r="42" spans="1:17" x14ac:dyDescent="0.2">
      <c r="C42" s="20"/>
      <c r="D42" s="20"/>
      <c r="E42" s="13"/>
      <c r="G42" s="14"/>
      <c r="K42" s="14"/>
      <c r="Q42" s="2"/>
    </row>
    <row r="43" spans="1:17" x14ac:dyDescent="0.2">
      <c r="C43" s="20"/>
      <c r="D43" s="20"/>
      <c r="Q43" s="2"/>
    </row>
    <row r="44" spans="1:17" x14ac:dyDescent="0.2">
      <c r="C44" s="20"/>
      <c r="D44" s="20"/>
      <c r="E44" s="13"/>
      <c r="G44" s="14"/>
      <c r="N44" s="14"/>
      <c r="Q44" s="2"/>
    </row>
    <row r="45" spans="1:17" x14ac:dyDescent="0.2">
      <c r="A45" s="15"/>
      <c r="B45" s="16"/>
      <c r="C45" s="17"/>
      <c r="D45" s="18"/>
      <c r="E45" s="13"/>
      <c r="G45" s="14"/>
      <c r="I45" s="21"/>
      <c r="Q45" s="2"/>
    </row>
    <row r="46" spans="1:17" x14ac:dyDescent="0.2">
      <c r="A46" s="19"/>
      <c r="B46" s="16"/>
      <c r="C46" s="17"/>
      <c r="D46" s="17"/>
      <c r="E46" s="13"/>
      <c r="G46" s="14"/>
      <c r="I46" s="21"/>
      <c r="Q46" s="2"/>
    </row>
    <row r="47" spans="1:17" x14ac:dyDescent="0.2">
      <c r="A47" s="15"/>
      <c r="B47" s="16"/>
      <c r="C47" s="17"/>
      <c r="D47" s="18"/>
      <c r="E47" s="13"/>
      <c r="G47" s="14"/>
      <c r="I47" s="21"/>
      <c r="Q47" s="2"/>
    </row>
    <row r="48" spans="1:17" x14ac:dyDescent="0.2">
      <c r="A48" s="19"/>
      <c r="B48" s="16"/>
      <c r="C48" s="17"/>
      <c r="D48" s="17"/>
      <c r="E48" s="13"/>
      <c r="G48" s="14"/>
      <c r="I48" s="21"/>
      <c r="Q48" s="2"/>
    </row>
    <row r="49" spans="1:17" x14ac:dyDescent="0.2">
      <c r="A49" s="15"/>
      <c r="B49" s="16"/>
      <c r="C49" s="17"/>
      <c r="D49" s="18"/>
      <c r="E49" s="13"/>
      <c r="G49" s="14"/>
      <c r="I49" s="21"/>
      <c r="Q49" s="2"/>
    </row>
    <row r="50" spans="1:17" x14ac:dyDescent="0.2">
      <c r="A50" s="19"/>
      <c r="B50" s="16"/>
      <c r="C50" s="17"/>
      <c r="D50" s="17"/>
      <c r="E50" s="13"/>
      <c r="G50" s="14"/>
      <c r="I50" s="21"/>
      <c r="Q50" s="2"/>
    </row>
    <row r="51" spans="1:17" x14ac:dyDescent="0.2">
      <c r="C51" s="20"/>
      <c r="D51" s="20"/>
      <c r="E51" s="13"/>
      <c r="G51" s="14"/>
      <c r="L51" s="14"/>
      <c r="Q51" s="2"/>
    </row>
    <row r="52" spans="1:17" x14ac:dyDescent="0.2">
      <c r="A52" s="25"/>
      <c r="B52" s="24"/>
      <c r="C52" s="20"/>
      <c r="D52" s="20"/>
      <c r="E52" s="13"/>
      <c r="G52" s="14"/>
      <c r="I52" s="14"/>
      <c r="Q52" s="2"/>
    </row>
    <row r="53" spans="1:17" x14ac:dyDescent="0.2">
      <c r="D53" s="20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8"/>
  <sheetViews>
    <sheetView topLeftCell="A10" workbookViewId="0">
      <selection activeCell="A18" sqref="A18:C33"/>
    </sheetView>
  </sheetViews>
  <sheetFormatPr defaultRowHeight="12.75" x14ac:dyDescent="0.2"/>
  <cols>
    <col min="1" max="1" width="19.7109375" style="20" customWidth="1"/>
    <col min="2" max="2" width="4.42578125" style="25" customWidth="1"/>
    <col min="3" max="3" width="12.7109375" style="20" customWidth="1"/>
    <col min="4" max="4" width="5.42578125" style="25" customWidth="1"/>
    <col min="5" max="5" width="14.85546875" style="25" customWidth="1"/>
    <col min="6" max="6" width="9.140625" style="25"/>
    <col min="7" max="7" width="12" style="25" customWidth="1"/>
    <col min="8" max="8" width="14.140625" style="20" customWidth="1"/>
    <col min="9" max="9" width="22.5703125" style="25" customWidth="1"/>
    <col min="10" max="10" width="25.140625" style="25" customWidth="1"/>
    <col min="11" max="11" width="15.7109375" style="25" customWidth="1"/>
    <col min="12" max="12" width="14.140625" style="25" customWidth="1"/>
    <col min="13" max="13" width="9.5703125" style="25" customWidth="1"/>
    <col min="14" max="14" width="14.140625" style="25" customWidth="1"/>
    <col min="15" max="15" width="23.42578125" style="25" customWidth="1"/>
    <col min="16" max="16" width="16.5703125" style="25" customWidth="1"/>
    <col min="17" max="17" width="41" style="25" customWidth="1"/>
    <col min="18" max="16384" width="9.140625" style="25"/>
  </cols>
  <sheetData>
    <row r="1" spans="1:16" ht="15.75" x14ac:dyDescent="0.25">
      <c r="A1" s="40" t="s">
        <v>68</v>
      </c>
      <c r="I1" s="41" t="s">
        <v>69</v>
      </c>
      <c r="J1" s="42" t="s">
        <v>70</v>
      </c>
    </row>
    <row r="2" spans="1:16" x14ac:dyDescent="0.2">
      <c r="I2" s="43" t="s">
        <v>71</v>
      </c>
      <c r="J2" s="44" t="s">
        <v>72</v>
      </c>
    </row>
    <row r="3" spans="1:16" x14ac:dyDescent="0.2">
      <c r="A3" s="45" t="s">
        <v>73</v>
      </c>
      <c r="I3" s="43" t="s">
        <v>74</v>
      </c>
      <c r="J3" s="44" t="s">
        <v>75</v>
      </c>
    </row>
    <row r="4" spans="1:16" x14ac:dyDescent="0.2">
      <c r="I4" s="43" t="s">
        <v>76</v>
      </c>
      <c r="J4" s="44" t="s">
        <v>75</v>
      </c>
    </row>
    <row r="5" spans="1:16" ht="13.5" thickBot="1" x14ac:dyDescent="0.25">
      <c r="I5" s="46" t="s">
        <v>77</v>
      </c>
      <c r="J5" s="47" t="s">
        <v>78</v>
      </c>
    </row>
    <row r="10" spans="1:16" ht="13.5" thickBot="1" x14ac:dyDescent="0.25"/>
    <row r="11" spans="1:16" ht="12.75" customHeight="1" thickBot="1" x14ac:dyDescent="0.25">
      <c r="A11" s="20" t="str">
        <f t="shared" ref="A11:A33" si="0">P11</f>
        <v> JAAVSO 41;122 </v>
      </c>
      <c r="B11" s="6" t="str">
        <f t="shared" ref="B11:B33" si="1">IF(H11=INT(H11),"I","II")</f>
        <v>I</v>
      </c>
      <c r="C11" s="20">
        <f t="shared" ref="C11:C33" si="2">1*G11</f>
        <v>53832.694900000002</v>
      </c>
      <c r="D11" s="25" t="str">
        <f t="shared" ref="D11:D33" si="3">VLOOKUP(F11,I$1:J$5,2,FALSE)</f>
        <v>vis</v>
      </c>
      <c r="E11" s="48">
        <f>VLOOKUP(C11,Active!C$21:E$972,3,FALSE)</f>
        <v>11668.889054228823</v>
      </c>
      <c r="F11" s="6" t="s">
        <v>77</v>
      </c>
      <c r="G11" s="25" t="str">
        <f t="shared" ref="G11:G33" si="4">MID(I11,3,LEN(I11)-3)</f>
        <v>53832.6949</v>
      </c>
      <c r="H11" s="20">
        <f t="shared" ref="H11:H33" si="5">1*K11</f>
        <v>2916</v>
      </c>
      <c r="I11" s="49" t="s">
        <v>129</v>
      </c>
      <c r="J11" s="50" t="s">
        <v>130</v>
      </c>
      <c r="K11" s="49">
        <v>2916</v>
      </c>
      <c r="L11" s="49" t="s">
        <v>115</v>
      </c>
      <c r="M11" s="50" t="s">
        <v>131</v>
      </c>
      <c r="N11" s="50" t="s">
        <v>132</v>
      </c>
      <c r="O11" s="51" t="s">
        <v>133</v>
      </c>
      <c r="P11" s="51" t="s">
        <v>134</v>
      </c>
    </row>
    <row r="12" spans="1:16" ht="12.75" customHeight="1" thickBot="1" x14ac:dyDescent="0.25">
      <c r="A12" s="20" t="str">
        <f t="shared" si="0"/>
        <v>OEJV 0107 </v>
      </c>
      <c r="B12" s="6" t="str">
        <f t="shared" si="1"/>
        <v>II</v>
      </c>
      <c r="C12" s="20">
        <f t="shared" si="2"/>
        <v>54942.440300000002</v>
      </c>
      <c r="D12" s="25" t="str">
        <f t="shared" si="3"/>
        <v>vis</v>
      </c>
      <c r="E12" s="48">
        <f>VLOOKUP(C12,Active!C$21:E$972,3,FALSE)</f>
        <v>14097.370073812122</v>
      </c>
      <c r="F12" s="6" t="s">
        <v>77</v>
      </c>
      <c r="G12" s="25" t="str">
        <f t="shared" si="4"/>
        <v>54942.4403</v>
      </c>
      <c r="H12" s="20">
        <f t="shared" si="5"/>
        <v>5344.5</v>
      </c>
      <c r="I12" s="49" t="s">
        <v>135</v>
      </c>
      <c r="J12" s="50" t="s">
        <v>136</v>
      </c>
      <c r="K12" s="49">
        <v>5344.5</v>
      </c>
      <c r="L12" s="49" t="s">
        <v>137</v>
      </c>
      <c r="M12" s="50" t="s">
        <v>131</v>
      </c>
      <c r="N12" s="50" t="s">
        <v>36</v>
      </c>
      <c r="O12" s="51" t="s">
        <v>138</v>
      </c>
      <c r="P12" s="52" t="s">
        <v>139</v>
      </c>
    </row>
    <row r="13" spans="1:16" ht="12.75" customHeight="1" thickBot="1" x14ac:dyDescent="0.25">
      <c r="A13" s="20" t="str">
        <f t="shared" si="0"/>
        <v>IBVS 6007 </v>
      </c>
      <c r="B13" s="6" t="str">
        <f t="shared" si="1"/>
        <v>I</v>
      </c>
      <c r="C13" s="20">
        <f t="shared" si="2"/>
        <v>55592.472399999999</v>
      </c>
      <c r="D13" s="25" t="str">
        <f t="shared" si="3"/>
        <v>vis</v>
      </c>
      <c r="E13" s="48">
        <f>VLOOKUP(C13,Active!C$21:E$972,3,FALSE)</f>
        <v>15519.850056130468</v>
      </c>
      <c r="F13" s="6" t="s">
        <v>77</v>
      </c>
      <c r="G13" s="25" t="str">
        <f t="shared" si="4"/>
        <v>55592.47240</v>
      </c>
      <c r="H13" s="20">
        <f t="shared" si="5"/>
        <v>6767</v>
      </c>
      <c r="I13" s="49" t="s">
        <v>146</v>
      </c>
      <c r="J13" s="50" t="s">
        <v>147</v>
      </c>
      <c r="K13" s="49">
        <v>6767</v>
      </c>
      <c r="L13" s="49" t="s">
        <v>148</v>
      </c>
      <c r="M13" s="50" t="s">
        <v>131</v>
      </c>
      <c r="N13" s="50" t="s">
        <v>69</v>
      </c>
      <c r="O13" s="51" t="s">
        <v>149</v>
      </c>
      <c r="P13" s="52" t="s">
        <v>150</v>
      </c>
    </row>
    <row r="14" spans="1:16" ht="12.75" customHeight="1" thickBot="1" x14ac:dyDescent="0.25">
      <c r="A14" s="20" t="str">
        <f t="shared" si="0"/>
        <v>IBVS 6007 </v>
      </c>
      <c r="B14" s="6" t="str">
        <f t="shared" si="1"/>
        <v>I</v>
      </c>
      <c r="C14" s="20">
        <f t="shared" si="2"/>
        <v>55617.606290000003</v>
      </c>
      <c r="D14" s="25" t="str">
        <f t="shared" si="3"/>
        <v>vis</v>
      </c>
      <c r="E14" s="48">
        <f>VLOOKUP(C14,Active!C$21:E$972,3,FALSE)</f>
        <v>15574.851117466975</v>
      </c>
      <c r="F14" s="6" t="s">
        <v>77</v>
      </c>
      <c r="G14" s="25" t="str">
        <f t="shared" si="4"/>
        <v>55617.60629</v>
      </c>
      <c r="H14" s="20">
        <f t="shared" si="5"/>
        <v>6822</v>
      </c>
      <c r="I14" s="49" t="s">
        <v>151</v>
      </c>
      <c r="J14" s="50" t="s">
        <v>152</v>
      </c>
      <c r="K14" s="49">
        <v>6822</v>
      </c>
      <c r="L14" s="49" t="s">
        <v>153</v>
      </c>
      <c r="M14" s="50" t="s">
        <v>131</v>
      </c>
      <c r="N14" s="50" t="s">
        <v>145</v>
      </c>
      <c r="O14" s="51" t="s">
        <v>149</v>
      </c>
      <c r="P14" s="52" t="s">
        <v>150</v>
      </c>
    </row>
    <row r="15" spans="1:16" ht="12.75" customHeight="1" thickBot="1" x14ac:dyDescent="0.25">
      <c r="A15" s="20" t="str">
        <f t="shared" si="0"/>
        <v>OEJV 0160 </v>
      </c>
      <c r="B15" s="6" t="str">
        <f t="shared" si="1"/>
        <v>I</v>
      </c>
      <c r="C15" s="20">
        <f t="shared" si="2"/>
        <v>55957.5916</v>
      </c>
      <c r="D15" s="25" t="str">
        <f t="shared" si="3"/>
        <v>vis</v>
      </c>
      <c r="E15" s="48">
        <f>VLOOKUP(C15,Active!C$21:E$972,3,FALSE)</f>
        <v>16318.84867967551</v>
      </c>
      <c r="F15" s="6" t="s">
        <v>77</v>
      </c>
      <c r="G15" s="25" t="str">
        <f t="shared" si="4"/>
        <v>55957.5916</v>
      </c>
      <c r="H15" s="20">
        <f t="shared" si="5"/>
        <v>7566</v>
      </c>
      <c r="I15" s="49" t="s">
        <v>154</v>
      </c>
      <c r="J15" s="50" t="s">
        <v>155</v>
      </c>
      <c r="K15" s="49">
        <v>7566</v>
      </c>
      <c r="L15" s="49" t="s">
        <v>156</v>
      </c>
      <c r="M15" s="50" t="s">
        <v>131</v>
      </c>
      <c r="N15" s="50" t="s">
        <v>69</v>
      </c>
      <c r="O15" s="51" t="s">
        <v>157</v>
      </c>
      <c r="P15" s="52" t="s">
        <v>158</v>
      </c>
    </row>
    <row r="16" spans="1:16" ht="12.75" customHeight="1" thickBot="1" x14ac:dyDescent="0.25">
      <c r="A16" s="20" t="str">
        <f t="shared" si="0"/>
        <v>BAVM 228 </v>
      </c>
      <c r="B16" s="6" t="str">
        <f t="shared" si="1"/>
        <v>I</v>
      </c>
      <c r="C16" s="20">
        <f t="shared" si="2"/>
        <v>56001.458200000001</v>
      </c>
      <c r="D16" s="25" t="str">
        <f t="shared" si="3"/>
        <v>vis</v>
      </c>
      <c r="E16" s="48">
        <f>VLOOKUP(C16,Active!C$21:E$972,3,FALSE)</f>
        <v>16414.8429550234</v>
      </c>
      <c r="F16" s="6" t="s">
        <v>77</v>
      </c>
      <c r="G16" s="25" t="str">
        <f t="shared" si="4"/>
        <v>56001.4582</v>
      </c>
      <c r="H16" s="20">
        <f t="shared" si="5"/>
        <v>7662</v>
      </c>
      <c r="I16" s="49" t="s">
        <v>159</v>
      </c>
      <c r="J16" s="50" t="s">
        <v>160</v>
      </c>
      <c r="K16" s="49">
        <v>7662</v>
      </c>
      <c r="L16" s="49" t="s">
        <v>161</v>
      </c>
      <c r="M16" s="50" t="s">
        <v>131</v>
      </c>
      <c r="N16" s="50" t="s">
        <v>77</v>
      </c>
      <c r="O16" s="51" t="s">
        <v>162</v>
      </c>
      <c r="P16" s="52" t="s">
        <v>163</v>
      </c>
    </row>
    <row r="17" spans="1:16" ht="12.75" customHeight="1" thickBot="1" x14ac:dyDescent="0.25">
      <c r="A17" s="20" t="str">
        <f t="shared" si="0"/>
        <v>OEJV 0160 </v>
      </c>
      <c r="B17" s="6" t="str">
        <f t="shared" si="1"/>
        <v>I</v>
      </c>
      <c r="C17" s="20">
        <f t="shared" si="2"/>
        <v>56012.4254</v>
      </c>
      <c r="D17" s="25" t="str">
        <f t="shared" si="3"/>
        <v>vis</v>
      </c>
      <c r="E17" s="48">
        <f>VLOOKUP(C17,Active!C$21:E$972,3,FALSE)</f>
        <v>16438.842727437841</v>
      </c>
      <c r="F17" s="6" t="s">
        <v>77</v>
      </c>
      <c r="G17" s="25" t="str">
        <f t="shared" si="4"/>
        <v>56012.4254</v>
      </c>
      <c r="H17" s="20">
        <f t="shared" si="5"/>
        <v>7686</v>
      </c>
      <c r="I17" s="49" t="s">
        <v>164</v>
      </c>
      <c r="J17" s="50" t="s">
        <v>165</v>
      </c>
      <c r="K17" s="49">
        <v>7686</v>
      </c>
      <c r="L17" s="49" t="s">
        <v>166</v>
      </c>
      <c r="M17" s="50" t="s">
        <v>131</v>
      </c>
      <c r="N17" s="50" t="s">
        <v>69</v>
      </c>
      <c r="O17" s="51" t="s">
        <v>167</v>
      </c>
      <c r="P17" s="52" t="s">
        <v>158</v>
      </c>
    </row>
    <row r="18" spans="1:16" ht="12.75" customHeight="1" thickBot="1" x14ac:dyDescent="0.25">
      <c r="A18" s="20" t="str">
        <f t="shared" si="0"/>
        <v>IBVS 5548 </v>
      </c>
      <c r="B18" s="6" t="str">
        <f t="shared" si="1"/>
        <v>I</v>
      </c>
      <c r="C18" s="20">
        <f t="shared" si="2"/>
        <v>52322.420700000002</v>
      </c>
      <c r="D18" s="25" t="str">
        <f t="shared" si="3"/>
        <v>vis</v>
      </c>
      <c r="E18" s="48">
        <f>VLOOKUP(C18,Active!C$21:E$972,3,FALSE)</f>
        <v>8363.9217805943917</v>
      </c>
      <c r="F18" s="6" t="s">
        <v>77</v>
      </c>
      <c r="G18" s="25" t="str">
        <f t="shared" si="4"/>
        <v>52322.4207</v>
      </c>
      <c r="H18" s="20">
        <f t="shared" si="5"/>
        <v>-389</v>
      </c>
      <c r="I18" s="49" t="s">
        <v>79</v>
      </c>
      <c r="J18" s="50" t="s">
        <v>80</v>
      </c>
      <c r="K18" s="49">
        <v>-389</v>
      </c>
      <c r="L18" s="49" t="s">
        <v>81</v>
      </c>
      <c r="M18" s="50" t="s">
        <v>82</v>
      </c>
      <c r="N18" s="50" t="s">
        <v>83</v>
      </c>
      <c r="O18" s="51" t="s">
        <v>84</v>
      </c>
      <c r="P18" s="52" t="s">
        <v>85</v>
      </c>
    </row>
    <row r="19" spans="1:16" ht="12.75" customHeight="1" thickBot="1" x14ac:dyDescent="0.25">
      <c r="A19" s="20" t="str">
        <f t="shared" si="0"/>
        <v>IBVS 5548 </v>
      </c>
      <c r="B19" s="6" t="str">
        <f t="shared" si="1"/>
        <v>I</v>
      </c>
      <c r="C19" s="20">
        <f t="shared" si="2"/>
        <v>52323.334900000002</v>
      </c>
      <c r="D19" s="25" t="str">
        <f t="shared" si="3"/>
        <v>vis</v>
      </c>
      <c r="E19" s="48">
        <f>VLOOKUP(C19,Active!C$21:E$972,3,FALSE)</f>
        <v>8365.9223451816397</v>
      </c>
      <c r="F19" s="6" t="s">
        <v>77</v>
      </c>
      <c r="G19" s="25" t="str">
        <f t="shared" si="4"/>
        <v>52323.3349</v>
      </c>
      <c r="H19" s="20">
        <f t="shared" si="5"/>
        <v>-387</v>
      </c>
      <c r="I19" s="49" t="s">
        <v>86</v>
      </c>
      <c r="J19" s="50" t="s">
        <v>87</v>
      </c>
      <c r="K19" s="49">
        <v>-387</v>
      </c>
      <c r="L19" s="49" t="s">
        <v>88</v>
      </c>
      <c r="M19" s="50" t="s">
        <v>82</v>
      </c>
      <c r="N19" s="50" t="s">
        <v>83</v>
      </c>
      <c r="O19" s="51" t="s">
        <v>84</v>
      </c>
      <c r="P19" s="52" t="s">
        <v>85</v>
      </c>
    </row>
    <row r="20" spans="1:16" ht="12.75" customHeight="1" thickBot="1" x14ac:dyDescent="0.25">
      <c r="A20" s="20" t="str">
        <f t="shared" si="0"/>
        <v>IBVS 5548 </v>
      </c>
      <c r="B20" s="6" t="str">
        <f t="shared" si="1"/>
        <v>I</v>
      </c>
      <c r="C20" s="20">
        <f t="shared" si="2"/>
        <v>52353.492100000003</v>
      </c>
      <c r="D20" s="25" t="str">
        <f t="shared" si="3"/>
        <v>vis</v>
      </c>
      <c r="E20" s="48">
        <f>VLOOKUP(C20,Active!C$21:E$972,3,FALSE)</f>
        <v>8431.9160296824102</v>
      </c>
      <c r="F20" s="6" t="s">
        <v>77</v>
      </c>
      <c r="G20" s="25" t="str">
        <f t="shared" si="4"/>
        <v>52353.4921</v>
      </c>
      <c r="H20" s="20">
        <f t="shared" si="5"/>
        <v>-321</v>
      </c>
      <c r="I20" s="49" t="s">
        <v>89</v>
      </c>
      <c r="J20" s="50" t="s">
        <v>90</v>
      </c>
      <c r="K20" s="49">
        <v>-321</v>
      </c>
      <c r="L20" s="49" t="s">
        <v>91</v>
      </c>
      <c r="M20" s="50" t="s">
        <v>82</v>
      </c>
      <c r="N20" s="50" t="s">
        <v>83</v>
      </c>
      <c r="O20" s="51" t="s">
        <v>84</v>
      </c>
      <c r="P20" s="52" t="s">
        <v>85</v>
      </c>
    </row>
    <row r="21" spans="1:16" ht="12.75" customHeight="1" thickBot="1" x14ac:dyDescent="0.25">
      <c r="A21" s="20" t="str">
        <f t="shared" si="0"/>
        <v>IBVS 5548 </v>
      </c>
      <c r="B21" s="6" t="str">
        <f t="shared" si="1"/>
        <v>I</v>
      </c>
      <c r="C21" s="20">
        <f t="shared" si="2"/>
        <v>52364.464</v>
      </c>
      <c r="D21" s="25" t="str">
        <f t="shared" si="3"/>
        <v>vis</v>
      </c>
      <c r="E21" s="48">
        <f>VLOOKUP(C21,Active!C$21:E$972,3,FALSE)</f>
        <v>8455.9260872134055</v>
      </c>
      <c r="F21" s="6" t="s">
        <v>77</v>
      </c>
      <c r="G21" s="25" t="str">
        <f t="shared" si="4"/>
        <v>52364.4640</v>
      </c>
      <c r="H21" s="20">
        <f t="shared" si="5"/>
        <v>-297</v>
      </c>
      <c r="I21" s="49" t="s">
        <v>92</v>
      </c>
      <c r="J21" s="50" t="s">
        <v>93</v>
      </c>
      <c r="K21" s="49">
        <v>-297</v>
      </c>
      <c r="L21" s="49" t="s">
        <v>94</v>
      </c>
      <c r="M21" s="50" t="s">
        <v>82</v>
      </c>
      <c r="N21" s="50" t="s">
        <v>83</v>
      </c>
      <c r="O21" s="51" t="s">
        <v>84</v>
      </c>
      <c r="P21" s="52" t="s">
        <v>85</v>
      </c>
    </row>
    <row r="22" spans="1:16" ht="12.75" customHeight="1" thickBot="1" x14ac:dyDescent="0.25">
      <c r="A22" s="20" t="str">
        <f t="shared" si="0"/>
        <v>IBVS 5548 </v>
      </c>
      <c r="B22" s="6" t="str">
        <f t="shared" si="1"/>
        <v>I</v>
      </c>
      <c r="C22" s="20">
        <f t="shared" si="2"/>
        <v>52391.422200000001</v>
      </c>
      <c r="D22" s="25" t="str">
        <f t="shared" si="3"/>
        <v>vis</v>
      </c>
      <c r="E22" s="48">
        <f>VLOOKUP(C22,Active!C$21:E$972,3,FALSE)</f>
        <v>8514.919327484673</v>
      </c>
      <c r="F22" s="6" t="s">
        <v>77</v>
      </c>
      <c r="G22" s="25" t="str">
        <f t="shared" si="4"/>
        <v>52391.4222</v>
      </c>
      <c r="H22" s="20">
        <f t="shared" si="5"/>
        <v>-238</v>
      </c>
      <c r="I22" s="49" t="s">
        <v>95</v>
      </c>
      <c r="J22" s="50" t="s">
        <v>96</v>
      </c>
      <c r="K22" s="49">
        <v>-238</v>
      </c>
      <c r="L22" s="49" t="s">
        <v>97</v>
      </c>
      <c r="M22" s="50" t="s">
        <v>82</v>
      </c>
      <c r="N22" s="50" t="s">
        <v>83</v>
      </c>
      <c r="O22" s="51" t="s">
        <v>84</v>
      </c>
      <c r="P22" s="52" t="s">
        <v>85</v>
      </c>
    </row>
    <row r="23" spans="1:16" ht="12.75" customHeight="1" thickBot="1" x14ac:dyDescent="0.25">
      <c r="A23" s="20" t="str">
        <f t="shared" si="0"/>
        <v>IBVS 5548 </v>
      </c>
      <c r="B23" s="6" t="str">
        <f t="shared" si="1"/>
        <v>I</v>
      </c>
      <c r="C23" s="20">
        <f t="shared" si="2"/>
        <v>52397.3629</v>
      </c>
      <c r="D23" s="25" t="str">
        <f t="shared" si="3"/>
        <v>vis</v>
      </c>
      <c r="E23" s="48">
        <f>VLOOKUP(C23,Active!C$21:E$972,3,FALSE)</f>
        <v>8527.9194959855158</v>
      </c>
      <c r="F23" s="6" t="s">
        <v>77</v>
      </c>
      <c r="G23" s="25" t="str">
        <f t="shared" si="4"/>
        <v>52397.3629</v>
      </c>
      <c r="H23" s="20">
        <f t="shared" si="5"/>
        <v>-225</v>
      </c>
      <c r="I23" s="49" t="s">
        <v>98</v>
      </c>
      <c r="J23" s="50" t="s">
        <v>99</v>
      </c>
      <c r="K23" s="49">
        <v>-225</v>
      </c>
      <c r="L23" s="49" t="s">
        <v>100</v>
      </c>
      <c r="M23" s="50" t="s">
        <v>82</v>
      </c>
      <c r="N23" s="50" t="s">
        <v>83</v>
      </c>
      <c r="O23" s="51" t="s">
        <v>84</v>
      </c>
      <c r="P23" s="52" t="s">
        <v>85</v>
      </c>
    </row>
    <row r="24" spans="1:16" ht="12.75" customHeight="1" thickBot="1" x14ac:dyDescent="0.25">
      <c r="A24" s="20" t="str">
        <f t="shared" si="0"/>
        <v>IBVS 5548 </v>
      </c>
      <c r="B24" s="6" t="str">
        <f t="shared" si="1"/>
        <v>II</v>
      </c>
      <c r="C24" s="20">
        <f t="shared" si="2"/>
        <v>52399.420400000003</v>
      </c>
      <c r="D24" s="25" t="str">
        <f t="shared" si="3"/>
        <v>vis</v>
      </c>
      <c r="E24" s="48">
        <f>VLOOKUP(C24,Active!C$21:E$972,3,FALSE)</f>
        <v>8532.4219698843044</v>
      </c>
      <c r="F24" s="6" t="s">
        <v>77</v>
      </c>
      <c r="G24" s="25" t="str">
        <f t="shared" si="4"/>
        <v>52399.4204</v>
      </c>
      <c r="H24" s="20">
        <f t="shared" si="5"/>
        <v>-220.5</v>
      </c>
      <c r="I24" s="49" t="s">
        <v>101</v>
      </c>
      <c r="J24" s="50" t="s">
        <v>102</v>
      </c>
      <c r="K24" s="49">
        <v>-220.5</v>
      </c>
      <c r="L24" s="49" t="s">
        <v>103</v>
      </c>
      <c r="M24" s="50" t="s">
        <v>82</v>
      </c>
      <c r="N24" s="50" t="s">
        <v>83</v>
      </c>
      <c r="O24" s="51" t="s">
        <v>84</v>
      </c>
      <c r="P24" s="52" t="s">
        <v>85</v>
      </c>
    </row>
    <row r="25" spans="1:16" ht="12.75" customHeight="1" thickBot="1" x14ac:dyDescent="0.25">
      <c r="A25" s="20" t="str">
        <f t="shared" si="0"/>
        <v>IBVS 5548 </v>
      </c>
      <c r="B25" s="6" t="str">
        <f t="shared" si="1"/>
        <v>II</v>
      </c>
      <c r="C25" s="20">
        <f t="shared" si="2"/>
        <v>52692.339699999997</v>
      </c>
      <c r="D25" s="25" t="str">
        <f t="shared" si="3"/>
        <v>vis</v>
      </c>
      <c r="E25" s="48">
        <f>VLOOKUP(C25,Active!C$21:E$972,3,FALSE)</f>
        <v>9173.4239153031467</v>
      </c>
      <c r="F25" s="6" t="s">
        <v>77</v>
      </c>
      <c r="G25" s="25" t="str">
        <f t="shared" si="4"/>
        <v>52692.3397</v>
      </c>
      <c r="H25" s="20">
        <f t="shared" si="5"/>
        <v>420.5</v>
      </c>
      <c r="I25" s="49" t="s">
        <v>104</v>
      </c>
      <c r="J25" s="50" t="s">
        <v>105</v>
      </c>
      <c r="K25" s="49">
        <v>420.5</v>
      </c>
      <c r="L25" s="49" t="s">
        <v>106</v>
      </c>
      <c r="M25" s="50" t="s">
        <v>82</v>
      </c>
      <c r="N25" s="50" t="s">
        <v>83</v>
      </c>
      <c r="O25" s="51" t="s">
        <v>84</v>
      </c>
      <c r="P25" s="52" t="s">
        <v>85</v>
      </c>
    </row>
    <row r="26" spans="1:16" ht="12.75" customHeight="1" thickBot="1" x14ac:dyDescent="0.25">
      <c r="A26" s="20" t="str">
        <f t="shared" si="0"/>
        <v>IBVS 5548 </v>
      </c>
      <c r="B26" s="6" t="str">
        <f t="shared" si="1"/>
        <v>II</v>
      </c>
      <c r="C26" s="20">
        <f t="shared" si="2"/>
        <v>52697.365400000002</v>
      </c>
      <c r="D26" s="25" t="str">
        <f t="shared" si="3"/>
        <v>vis</v>
      </c>
      <c r="E26" s="48">
        <f>VLOOKUP(C26,Active!C$21:E$972,3,FALSE)</f>
        <v>9184.4217685586173</v>
      </c>
      <c r="F26" s="6" t="s">
        <v>77</v>
      </c>
      <c r="G26" s="25" t="str">
        <f t="shared" si="4"/>
        <v>52697.3654</v>
      </c>
      <c r="H26" s="20">
        <f t="shared" si="5"/>
        <v>431.5</v>
      </c>
      <c r="I26" s="49" t="s">
        <v>107</v>
      </c>
      <c r="J26" s="50" t="s">
        <v>108</v>
      </c>
      <c r="K26" s="49">
        <v>431.5</v>
      </c>
      <c r="L26" s="49" t="s">
        <v>109</v>
      </c>
      <c r="M26" s="50" t="s">
        <v>82</v>
      </c>
      <c r="N26" s="50" t="s">
        <v>83</v>
      </c>
      <c r="O26" s="51" t="s">
        <v>84</v>
      </c>
      <c r="P26" s="52" t="s">
        <v>85</v>
      </c>
    </row>
    <row r="27" spans="1:16" ht="12.75" customHeight="1" thickBot="1" x14ac:dyDescent="0.25">
      <c r="A27" s="20" t="str">
        <f t="shared" si="0"/>
        <v>IBVS 5548 </v>
      </c>
      <c r="B27" s="6" t="str">
        <f t="shared" si="1"/>
        <v>I</v>
      </c>
      <c r="C27" s="20">
        <f t="shared" si="2"/>
        <v>52697.591800000002</v>
      </c>
      <c r="D27" s="25" t="str">
        <f t="shared" si="3"/>
        <v>vis</v>
      </c>
      <c r="E27" s="48">
        <f>VLOOKUP(C27,Active!C$21:E$972,3,FALSE)</f>
        <v>9184.9172048116834</v>
      </c>
      <c r="F27" s="6" t="s">
        <v>77</v>
      </c>
      <c r="G27" s="25" t="str">
        <f t="shared" si="4"/>
        <v>52697.5918</v>
      </c>
      <c r="H27" s="20">
        <f t="shared" si="5"/>
        <v>432</v>
      </c>
      <c r="I27" s="49" t="s">
        <v>110</v>
      </c>
      <c r="J27" s="50" t="s">
        <v>111</v>
      </c>
      <c r="K27" s="49">
        <v>432</v>
      </c>
      <c r="L27" s="49" t="s">
        <v>112</v>
      </c>
      <c r="M27" s="50" t="s">
        <v>82</v>
      </c>
      <c r="N27" s="50" t="s">
        <v>83</v>
      </c>
      <c r="O27" s="51" t="s">
        <v>84</v>
      </c>
      <c r="P27" s="52" t="s">
        <v>85</v>
      </c>
    </row>
    <row r="28" spans="1:16" ht="12.75" customHeight="1" thickBot="1" x14ac:dyDescent="0.25">
      <c r="A28" s="20" t="str">
        <f t="shared" si="0"/>
        <v>IBVS 5548 </v>
      </c>
      <c r="B28" s="6" t="str">
        <f t="shared" si="1"/>
        <v>I</v>
      </c>
      <c r="C28" s="20">
        <f t="shared" si="2"/>
        <v>52698.505100000002</v>
      </c>
      <c r="D28" s="25" t="str">
        <f t="shared" si="3"/>
        <v>vis</v>
      </c>
      <c r="E28" s="48">
        <f>VLOOKUP(C28,Active!C$21:E$972,3,FALSE)</f>
        <v>9186.9157999085273</v>
      </c>
      <c r="F28" s="6" t="s">
        <v>77</v>
      </c>
      <c r="G28" s="25" t="str">
        <f t="shared" si="4"/>
        <v>52698.5051</v>
      </c>
      <c r="H28" s="20">
        <f t="shared" si="5"/>
        <v>434</v>
      </c>
      <c r="I28" s="49" t="s">
        <v>113</v>
      </c>
      <c r="J28" s="50" t="s">
        <v>114</v>
      </c>
      <c r="K28" s="49">
        <v>434</v>
      </c>
      <c r="L28" s="49" t="s">
        <v>115</v>
      </c>
      <c r="M28" s="50" t="s">
        <v>82</v>
      </c>
      <c r="N28" s="50" t="s">
        <v>83</v>
      </c>
      <c r="O28" s="51" t="s">
        <v>84</v>
      </c>
      <c r="P28" s="52" t="s">
        <v>85</v>
      </c>
    </row>
    <row r="29" spans="1:16" ht="12.75" customHeight="1" thickBot="1" x14ac:dyDescent="0.25">
      <c r="A29" s="20" t="str">
        <f t="shared" si="0"/>
        <v>IBVS 5592 </v>
      </c>
      <c r="B29" s="6" t="str">
        <f t="shared" si="1"/>
        <v>I</v>
      </c>
      <c r="C29" s="20">
        <f t="shared" si="2"/>
        <v>53082.358500000002</v>
      </c>
      <c r="D29" s="25" t="str">
        <f t="shared" si="3"/>
        <v>vis</v>
      </c>
      <c r="E29" s="48">
        <f>VLOOKUP(C29,Active!C$21:E$972,3,FALSE)</f>
        <v>10026.91089806574</v>
      </c>
      <c r="F29" s="6" t="s">
        <v>77</v>
      </c>
      <c r="G29" s="25" t="str">
        <f t="shared" si="4"/>
        <v>53082.3585</v>
      </c>
      <c r="H29" s="20">
        <f t="shared" si="5"/>
        <v>1274</v>
      </c>
      <c r="I29" s="49" t="s">
        <v>116</v>
      </c>
      <c r="J29" s="50" t="s">
        <v>117</v>
      </c>
      <c r="K29" s="49">
        <v>1274</v>
      </c>
      <c r="L29" s="49" t="s">
        <v>118</v>
      </c>
      <c r="M29" s="50" t="s">
        <v>82</v>
      </c>
      <c r="N29" s="50" t="s">
        <v>83</v>
      </c>
      <c r="O29" s="51" t="s">
        <v>119</v>
      </c>
      <c r="P29" s="52" t="s">
        <v>120</v>
      </c>
    </row>
    <row r="30" spans="1:16" ht="12.75" customHeight="1" thickBot="1" x14ac:dyDescent="0.25">
      <c r="A30" s="20" t="str">
        <f t="shared" si="0"/>
        <v>VSB 44 </v>
      </c>
      <c r="B30" s="6" t="str">
        <f t="shared" si="1"/>
        <v>II</v>
      </c>
      <c r="C30" s="20">
        <f t="shared" si="2"/>
        <v>53460.942300000002</v>
      </c>
      <c r="D30" s="25" t="str">
        <f t="shared" si="3"/>
        <v>vis</v>
      </c>
      <c r="E30" s="48">
        <f>VLOOKUP(C30,Active!C$21:E$972,3,FALSE)</f>
        <v>10855.37441106766</v>
      </c>
      <c r="F30" s="6" t="s">
        <v>77</v>
      </c>
      <c r="G30" s="25" t="str">
        <f t="shared" si="4"/>
        <v>53460.9423</v>
      </c>
      <c r="H30" s="20">
        <f t="shared" si="5"/>
        <v>2102.5</v>
      </c>
      <c r="I30" s="49" t="s">
        <v>121</v>
      </c>
      <c r="J30" s="50" t="s">
        <v>122</v>
      </c>
      <c r="K30" s="49">
        <v>2102.5</v>
      </c>
      <c r="L30" s="49" t="s">
        <v>123</v>
      </c>
      <c r="M30" s="50" t="s">
        <v>82</v>
      </c>
      <c r="N30" s="50" t="s">
        <v>83</v>
      </c>
      <c r="O30" s="51" t="s">
        <v>124</v>
      </c>
      <c r="P30" s="52" t="s">
        <v>125</v>
      </c>
    </row>
    <row r="31" spans="1:16" ht="12.75" customHeight="1" thickBot="1" x14ac:dyDescent="0.25">
      <c r="A31" s="20" t="str">
        <f t="shared" si="0"/>
        <v>VSB 44 </v>
      </c>
      <c r="B31" s="6" t="str">
        <f t="shared" si="1"/>
        <v>I</v>
      </c>
      <c r="C31" s="20">
        <f t="shared" si="2"/>
        <v>53461.183900000004</v>
      </c>
      <c r="D31" s="25" t="str">
        <f t="shared" si="3"/>
        <v>vis</v>
      </c>
      <c r="E31" s="48">
        <f>VLOOKUP(C31,Active!C$21:E$972,3,FALSE)</f>
        <v>10855.903109825353</v>
      </c>
      <c r="F31" s="6" t="s">
        <v>77</v>
      </c>
      <c r="G31" s="25" t="str">
        <f t="shared" si="4"/>
        <v>53461.1839</v>
      </c>
      <c r="H31" s="20">
        <f t="shared" si="5"/>
        <v>2103</v>
      </c>
      <c r="I31" s="49" t="s">
        <v>126</v>
      </c>
      <c r="J31" s="50" t="s">
        <v>127</v>
      </c>
      <c r="K31" s="49">
        <v>2103</v>
      </c>
      <c r="L31" s="49" t="s">
        <v>128</v>
      </c>
      <c r="M31" s="50" t="s">
        <v>82</v>
      </c>
      <c r="N31" s="50" t="s">
        <v>83</v>
      </c>
      <c r="O31" s="51" t="s">
        <v>124</v>
      </c>
      <c r="P31" s="52" t="s">
        <v>125</v>
      </c>
    </row>
    <row r="32" spans="1:16" ht="12.75" customHeight="1" thickBot="1" x14ac:dyDescent="0.25">
      <c r="A32" s="20" t="str">
        <f t="shared" si="0"/>
        <v>OEJV 0107 </v>
      </c>
      <c r="B32" s="6" t="str">
        <f t="shared" si="1"/>
        <v>II</v>
      </c>
      <c r="C32" s="20">
        <f t="shared" si="2"/>
        <v>54942.440999999999</v>
      </c>
      <c r="D32" s="25" t="str">
        <f t="shared" si="3"/>
        <v>vis</v>
      </c>
      <c r="E32" s="48">
        <f>VLOOKUP(C32,Active!C$21:E$972,3,FALSE)</f>
        <v>14097.371605637987</v>
      </c>
      <c r="F32" s="6" t="s">
        <v>77</v>
      </c>
      <c r="G32" s="25" t="str">
        <f t="shared" si="4"/>
        <v>54942.4410</v>
      </c>
      <c r="H32" s="20">
        <f t="shared" si="5"/>
        <v>5344.5</v>
      </c>
      <c r="I32" s="49" t="s">
        <v>140</v>
      </c>
      <c r="J32" s="50" t="s">
        <v>141</v>
      </c>
      <c r="K32" s="49">
        <v>5344.5</v>
      </c>
      <c r="L32" s="49" t="s">
        <v>142</v>
      </c>
      <c r="M32" s="50" t="s">
        <v>131</v>
      </c>
      <c r="N32" s="50" t="s">
        <v>77</v>
      </c>
      <c r="O32" s="51" t="s">
        <v>138</v>
      </c>
      <c r="P32" s="52" t="s">
        <v>139</v>
      </c>
    </row>
    <row r="33" spans="1:16" ht="12.75" customHeight="1" thickBot="1" x14ac:dyDescent="0.25">
      <c r="A33" s="20" t="str">
        <f t="shared" si="0"/>
        <v>OEJV 0107 </v>
      </c>
      <c r="B33" s="6" t="str">
        <f t="shared" si="1"/>
        <v>II</v>
      </c>
      <c r="C33" s="20">
        <f t="shared" si="2"/>
        <v>54942.441099999996</v>
      </c>
      <c r="D33" s="25" t="str">
        <f t="shared" si="3"/>
        <v>vis</v>
      </c>
      <c r="E33" s="48">
        <f>VLOOKUP(C33,Active!C$21:E$972,3,FALSE)</f>
        <v>14097.371824470249</v>
      </c>
      <c r="F33" s="6" t="s">
        <v>77</v>
      </c>
      <c r="G33" s="25" t="str">
        <f t="shared" si="4"/>
        <v>54942.4411</v>
      </c>
      <c r="H33" s="20">
        <f t="shared" si="5"/>
        <v>5344.5</v>
      </c>
      <c r="I33" s="49" t="s">
        <v>143</v>
      </c>
      <c r="J33" s="50" t="s">
        <v>141</v>
      </c>
      <c r="K33" s="49">
        <v>5344.5</v>
      </c>
      <c r="L33" s="49" t="s">
        <v>144</v>
      </c>
      <c r="M33" s="50" t="s">
        <v>131</v>
      </c>
      <c r="N33" s="50" t="s">
        <v>145</v>
      </c>
      <c r="O33" s="51" t="s">
        <v>138</v>
      </c>
      <c r="P33" s="52" t="s">
        <v>139</v>
      </c>
    </row>
    <row r="34" spans="1:16" x14ac:dyDescent="0.2">
      <c r="B34" s="6"/>
      <c r="E34" s="48"/>
      <c r="F34" s="6"/>
    </row>
    <row r="35" spans="1:16" x14ac:dyDescent="0.2">
      <c r="B35" s="6"/>
      <c r="E35" s="48"/>
      <c r="F35" s="6"/>
    </row>
    <row r="36" spans="1:16" x14ac:dyDescent="0.2">
      <c r="B36" s="6"/>
      <c r="E36" s="48"/>
      <c r="F36" s="6"/>
    </row>
    <row r="37" spans="1:16" x14ac:dyDescent="0.2">
      <c r="B37" s="6"/>
      <c r="E37" s="48"/>
      <c r="F37" s="6"/>
    </row>
    <row r="38" spans="1:16" x14ac:dyDescent="0.2">
      <c r="B38" s="6"/>
      <c r="E38" s="48"/>
      <c r="F38" s="6"/>
    </row>
    <row r="39" spans="1:16" x14ac:dyDescent="0.2">
      <c r="B39" s="6"/>
      <c r="E39" s="48"/>
      <c r="F39" s="6"/>
    </row>
    <row r="40" spans="1:16" x14ac:dyDescent="0.2">
      <c r="B40" s="6"/>
      <c r="E40" s="48"/>
      <c r="F40" s="6"/>
    </row>
    <row r="41" spans="1:16" x14ac:dyDescent="0.2">
      <c r="B41" s="6"/>
      <c r="F41" s="6"/>
    </row>
    <row r="42" spans="1:16" x14ac:dyDescent="0.2">
      <c r="B42" s="6"/>
      <c r="F42" s="6"/>
    </row>
    <row r="43" spans="1:16" x14ac:dyDescent="0.2">
      <c r="B43" s="6"/>
      <c r="F43" s="6"/>
    </row>
    <row r="44" spans="1:16" x14ac:dyDescent="0.2">
      <c r="B44" s="6"/>
      <c r="F44" s="6"/>
    </row>
    <row r="45" spans="1:16" x14ac:dyDescent="0.2">
      <c r="B45" s="6"/>
      <c r="F45" s="6"/>
    </row>
    <row r="46" spans="1:16" x14ac:dyDescent="0.2">
      <c r="B46" s="6"/>
      <c r="F46" s="6"/>
    </row>
    <row r="47" spans="1:16" x14ac:dyDescent="0.2">
      <c r="B47" s="6"/>
      <c r="F47" s="6"/>
    </row>
    <row r="48" spans="1:1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</sheetData>
  <phoneticPr fontId="8" type="noConversion"/>
  <hyperlinks>
    <hyperlink ref="P18" r:id="rId1" display="http://www.konkoly.hu/cgi-bin/IBVS?5548"/>
    <hyperlink ref="P19" r:id="rId2" display="http://www.konkoly.hu/cgi-bin/IBVS?5548"/>
    <hyperlink ref="P20" r:id="rId3" display="http://www.konkoly.hu/cgi-bin/IBVS?5548"/>
    <hyperlink ref="P21" r:id="rId4" display="http://www.konkoly.hu/cgi-bin/IBVS?5548"/>
    <hyperlink ref="P22" r:id="rId5" display="http://www.konkoly.hu/cgi-bin/IBVS?5548"/>
    <hyperlink ref="P23" r:id="rId6" display="http://www.konkoly.hu/cgi-bin/IBVS?5548"/>
    <hyperlink ref="P24" r:id="rId7" display="http://www.konkoly.hu/cgi-bin/IBVS?5548"/>
    <hyperlink ref="P25" r:id="rId8" display="http://www.konkoly.hu/cgi-bin/IBVS?5548"/>
    <hyperlink ref="P26" r:id="rId9" display="http://www.konkoly.hu/cgi-bin/IBVS?5548"/>
    <hyperlink ref="P27" r:id="rId10" display="http://www.konkoly.hu/cgi-bin/IBVS?5548"/>
    <hyperlink ref="P28" r:id="rId11" display="http://www.konkoly.hu/cgi-bin/IBVS?5548"/>
    <hyperlink ref="P29" r:id="rId12" display="http://www.konkoly.hu/cgi-bin/IBVS?5592"/>
    <hyperlink ref="P30" r:id="rId13" display="http://vsolj.cetus-net.org/no44.pdf"/>
    <hyperlink ref="P31" r:id="rId14" display="http://vsolj.cetus-net.org/no44.pdf"/>
    <hyperlink ref="P12" r:id="rId15" display="http://var.astro.cz/oejv/issues/oejv0107.pdf"/>
    <hyperlink ref="P32" r:id="rId16" display="http://var.astro.cz/oejv/issues/oejv0107.pdf"/>
    <hyperlink ref="P33" r:id="rId17" display="http://var.astro.cz/oejv/issues/oejv0107.pdf"/>
    <hyperlink ref="P13" r:id="rId18" display="http://www.konkoly.hu/cgi-bin/IBVS?6007"/>
    <hyperlink ref="P14" r:id="rId19" display="http://www.konkoly.hu/cgi-bin/IBVS?6007"/>
    <hyperlink ref="P15" r:id="rId20" display="http://var.astro.cz/oejv/issues/oejv0160.pdf"/>
    <hyperlink ref="P16" r:id="rId21" display="http://www.bav-astro.de/sfs/BAVM_link.php?BAVMnr=228"/>
    <hyperlink ref="P17" r:id="rId22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2024-02-17T05:32:45Z</dcterms:modified>
</cp:coreProperties>
</file>