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1A92DEB-0E05-4AD4-96A4-F07185C4A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xtive 1" sheetId="1" r:id="rId1"/>
    <sheet name="Active 2" sheetId="2" r:id="rId2"/>
  </sheets>
  <definedNames>
    <definedName name="solver_adj" localSheetId="1" hidden="1">'Active 2'!$E$11:$E$13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'Active 2'!$E$14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47" i="2" l="1"/>
  <c r="F47" i="2" s="1"/>
  <c r="Q47" i="2"/>
  <c r="E47" i="1"/>
  <c r="F47" i="1" s="1"/>
  <c r="G47" i="1" s="1"/>
  <c r="J47" i="1" s="1"/>
  <c r="Q47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E46" i="1"/>
  <c r="F46" i="1"/>
  <c r="G46" i="1"/>
  <c r="J46" i="1"/>
  <c r="Q46" i="1"/>
  <c r="Q45" i="2"/>
  <c r="D11" i="2"/>
  <c r="W5" i="2" s="1"/>
  <c r="D12" i="2"/>
  <c r="Q46" i="2"/>
  <c r="Q37" i="2"/>
  <c r="Q38" i="2"/>
  <c r="Q39" i="2"/>
  <c r="Q40" i="2"/>
  <c r="Q41" i="2"/>
  <c r="Q42" i="2"/>
  <c r="Q43" i="2"/>
  <c r="Q44" i="2"/>
  <c r="D13" i="2"/>
  <c r="E9" i="2"/>
  <c r="D9" i="2"/>
  <c r="Q21" i="2"/>
  <c r="F16" i="2"/>
  <c r="F17" i="2" s="1"/>
  <c r="C7" i="2"/>
  <c r="E45" i="2"/>
  <c r="F45" i="2"/>
  <c r="C8" i="2"/>
  <c r="E21" i="2"/>
  <c r="F21" i="2"/>
  <c r="C17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E31" i="1"/>
  <c r="F31" i="1"/>
  <c r="G31" i="1"/>
  <c r="J31" i="1"/>
  <c r="E28" i="1"/>
  <c r="F28" i="1"/>
  <c r="G28" i="1"/>
  <c r="J28" i="1"/>
  <c r="E29" i="1"/>
  <c r="F29" i="1"/>
  <c r="G29" i="1"/>
  <c r="J29" i="1"/>
  <c r="G11" i="1"/>
  <c r="F11" i="1"/>
  <c r="Q31" i="1"/>
  <c r="Q33" i="1"/>
  <c r="Q34" i="1"/>
  <c r="Q35" i="1"/>
  <c r="Q36" i="1"/>
  <c r="Q32" i="1"/>
  <c r="E21" i="1"/>
  <c r="F21" i="1"/>
  <c r="Q30" i="1"/>
  <c r="Q29" i="1"/>
  <c r="Q28" i="1"/>
  <c r="Q27" i="1"/>
  <c r="Q26" i="1"/>
  <c r="Q25" i="1"/>
  <c r="Q24" i="1"/>
  <c r="Q21" i="1"/>
  <c r="Q23" i="1"/>
  <c r="C7" i="1"/>
  <c r="E36" i="1"/>
  <c r="F36" i="1"/>
  <c r="G36" i="1"/>
  <c r="J36" i="1"/>
  <c r="E33" i="1"/>
  <c r="F33" i="1"/>
  <c r="G33" i="1"/>
  <c r="J33" i="1"/>
  <c r="C8" i="1"/>
  <c r="E23" i="1"/>
  <c r="F23" i="1"/>
  <c r="R23" i="1"/>
  <c r="E15" i="1"/>
  <c r="C17" i="1"/>
  <c r="Q22" i="1"/>
  <c r="E26" i="1"/>
  <c r="F26" i="1"/>
  <c r="G26" i="1"/>
  <c r="J26" i="1"/>
  <c r="E35" i="1"/>
  <c r="F35" i="1"/>
  <c r="G35" i="1"/>
  <c r="J35" i="1"/>
  <c r="E24" i="2"/>
  <c r="F24" i="2"/>
  <c r="E32" i="2"/>
  <c r="F32" i="2"/>
  <c r="E44" i="2"/>
  <c r="F44" i="2"/>
  <c r="G44" i="2"/>
  <c r="K44" i="2"/>
  <c r="E22" i="1"/>
  <c r="F22" i="1"/>
  <c r="G22" i="1"/>
  <c r="H22" i="1"/>
  <c r="E32" i="1"/>
  <c r="F32" i="1"/>
  <c r="G32" i="1"/>
  <c r="J32" i="1"/>
  <c r="G21" i="1"/>
  <c r="I21" i="1"/>
  <c r="E27" i="2"/>
  <c r="F27" i="2"/>
  <c r="E35" i="2"/>
  <c r="F35" i="2"/>
  <c r="G35" i="2"/>
  <c r="K35" i="2"/>
  <c r="E38" i="2"/>
  <c r="F38" i="2"/>
  <c r="E25" i="1"/>
  <c r="F25" i="1"/>
  <c r="G25" i="1"/>
  <c r="J25" i="1"/>
  <c r="E34" i="1"/>
  <c r="F34" i="1"/>
  <c r="G34" i="1"/>
  <c r="J34" i="1"/>
  <c r="W11" i="2"/>
  <c r="E33" i="2"/>
  <c r="F33" i="2"/>
  <c r="E43" i="2"/>
  <c r="F43" i="2"/>
  <c r="E30" i="1"/>
  <c r="F30" i="1"/>
  <c r="G30" i="1"/>
  <c r="J30" i="1"/>
  <c r="E28" i="2"/>
  <c r="F28" i="2"/>
  <c r="E36" i="2"/>
  <c r="F36" i="2"/>
  <c r="E40" i="2"/>
  <c r="F40" i="2"/>
  <c r="G40" i="2"/>
  <c r="K40" i="2"/>
  <c r="E31" i="2"/>
  <c r="F31" i="2"/>
  <c r="E24" i="1"/>
  <c r="F24" i="1"/>
  <c r="G24" i="1"/>
  <c r="J24" i="1"/>
  <c r="E26" i="2"/>
  <c r="F26" i="2"/>
  <c r="G26" i="2"/>
  <c r="K26" i="2"/>
  <c r="E34" i="2"/>
  <c r="F34" i="2"/>
  <c r="E42" i="2"/>
  <c r="F42" i="2"/>
  <c r="G42" i="2"/>
  <c r="G36" i="2"/>
  <c r="K36" i="2"/>
  <c r="G28" i="2"/>
  <c r="K28" i="2"/>
  <c r="G38" i="2"/>
  <c r="K38" i="2"/>
  <c r="G43" i="2"/>
  <c r="K43" i="2"/>
  <c r="K42" i="2"/>
  <c r="G24" i="2"/>
  <c r="P21" i="2"/>
  <c r="R21" i="2" s="1"/>
  <c r="T21" i="2" s="1"/>
  <c r="G21" i="2"/>
  <c r="I21" i="2"/>
  <c r="G32" i="2"/>
  <c r="K32" i="2"/>
  <c r="G33" i="2"/>
  <c r="K33" i="2"/>
  <c r="G34" i="2"/>
  <c r="K34" i="2"/>
  <c r="G45" i="2"/>
  <c r="K45" i="2"/>
  <c r="G31" i="2"/>
  <c r="K31" i="2"/>
  <c r="E23" i="2"/>
  <c r="F23" i="2"/>
  <c r="P23" i="2"/>
  <c r="R23" i="2" s="1"/>
  <c r="T23" i="2" s="1"/>
  <c r="E27" i="1"/>
  <c r="F27" i="1"/>
  <c r="G27" i="1"/>
  <c r="E25" i="2"/>
  <c r="F25" i="2"/>
  <c r="E39" i="2"/>
  <c r="F39" i="2"/>
  <c r="E29" i="2"/>
  <c r="F29" i="2"/>
  <c r="G27" i="2"/>
  <c r="K27" i="2"/>
  <c r="E46" i="2"/>
  <c r="F46" i="2"/>
  <c r="G46" i="2"/>
  <c r="K46" i="2"/>
  <c r="E37" i="2"/>
  <c r="F37" i="2"/>
  <c r="E22" i="2"/>
  <c r="F22" i="2"/>
  <c r="G30" i="2"/>
  <c r="K30" i="2"/>
  <c r="E41" i="2"/>
  <c r="F41" i="2"/>
  <c r="G23" i="2"/>
  <c r="K23" i="2"/>
  <c r="E30" i="2"/>
  <c r="F30" i="2"/>
  <c r="P30" i="2"/>
  <c r="R30" i="2" s="1"/>
  <c r="T30" i="2" s="1"/>
  <c r="G22" i="2"/>
  <c r="I22" i="2"/>
  <c r="G39" i="2"/>
  <c r="K39" i="2"/>
  <c r="G41" i="2"/>
  <c r="K41" i="2"/>
  <c r="G29" i="2"/>
  <c r="K29" i="2"/>
  <c r="J27" i="1"/>
  <c r="K24" i="2"/>
  <c r="G37" i="2"/>
  <c r="K37" i="2"/>
  <c r="G25" i="2"/>
  <c r="K25" i="2"/>
  <c r="C12" i="1"/>
  <c r="C11" i="1"/>
  <c r="P36" i="2" l="1"/>
  <c r="R36" i="2" s="1"/>
  <c r="T36" i="2" s="1"/>
  <c r="P39" i="2"/>
  <c r="R39" i="2" s="1"/>
  <c r="T39" i="2" s="1"/>
  <c r="W2" i="2"/>
  <c r="P24" i="2"/>
  <c r="R24" i="2" s="1"/>
  <c r="T24" i="2" s="1"/>
  <c r="P35" i="2"/>
  <c r="R35" i="2" s="1"/>
  <c r="T35" i="2" s="1"/>
  <c r="W16" i="2"/>
  <c r="P45" i="2"/>
  <c r="R45" i="2" s="1"/>
  <c r="T45" i="2" s="1"/>
  <c r="W3" i="2"/>
  <c r="P29" i="2"/>
  <c r="R29" i="2" s="1"/>
  <c r="T29" i="2" s="1"/>
  <c r="W10" i="2"/>
  <c r="P34" i="2"/>
  <c r="R34" i="2" s="1"/>
  <c r="T34" i="2" s="1"/>
  <c r="P43" i="2"/>
  <c r="R43" i="2" s="1"/>
  <c r="T43" i="2" s="1"/>
  <c r="P28" i="2"/>
  <c r="R28" i="2" s="1"/>
  <c r="T28" i="2" s="1"/>
  <c r="W6" i="2"/>
  <c r="P38" i="2"/>
  <c r="R38" i="2" s="1"/>
  <c r="T38" i="2" s="1"/>
  <c r="P42" i="2"/>
  <c r="R42" i="2" s="1"/>
  <c r="T42" i="2" s="1"/>
  <c r="P26" i="2"/>
  <c r="R26" i="2" s="1"/>
  <c r="T26" i="2" s="1"/>
  <c r="P44" i="2"/>
  <c r="R44" i="2" s="1"/>
  <c r="T44" i="2" s="1"/>
  <c r="W12" i="2"/>
  <c r="W17" i="2"/>
  <c r="P46" i="2"/>
  <c r="R46" i="2" s="1"/>
  <c r="T46" i="2" s="1"/>
  <c r="P33" i="2"/>
  <c r="R33" i="2" s="1"/>
  <c r="T33" i="2" s="1"/>
  <c r="P31" i="2"/>
  <c r="R31" i="2" s="1"/>
  <c r="T31" i="2" s="1"/>
  <c r="P25" i="2"/>
  <c r="R25" i="2" s="1"/>
  <c r="T25" i="2" s="1"/>
  <c r="W7" i="2"/>
  <c r="W14" i="2"/>
  <c r="P27" i="2"/>
  <c r="R27" i="2" s="1"/>
  <c r="T27" i="2" s="1"/>
  <c r="W8" i="2"/>
  <c r="P37" i="2"/>
  <c r="R37" i="2" s="1"/>
  <c r="T37" i="2" s="1"/>
  <c r="P32" i="2"/>
  <c r="R32" i="2" s="1"/>
  <c r="T32" i="2" s="1"/>
  <c r="P41" i="2"/>
  <c r="R41" i="2" s="1"/>
  <c r="T41" i="2" s="1"/>
  <c r="P22" i="2"/>
  <c r="R22" i="2" s="1"/>
  <c r="T22" i="2" s="1"/>
  <c r="E14" i="2" s="1"/>
  <c r="W13" i="2"/>
  <c r="P40" i="2"/>
  <c r="R40" i="2" s="1"/>
  <c r="T40" i="2" s="1"/>
  <c r="W4" i="2"/>
  <c r="W9" i="2"/>
  <c r="G47" i="2"/>
  <c r="P47" i="2"/>
  <c r="R47" i="2" s="1"/>
  <c r="T47" i="2" s="1"/>
  <c r="D16" i="2"/>
  <c r="D19" i="2" s="1"/>
  <c r="D15" i="2"/>
  <c r="C19" i="2" s="1"/>
  <c r="O47" i="1"/>
  <c r="O37" i="1"/>
  <c r="C15" i="1"/>
  <c r="O33" i="1"/>
  <c r="O29" i="1"/>
  <c r="O22" i="1"/>
  <c r="O38" i="1"/>
  <c r="O30" i="1"/>
  <c r="O36" i="1"/>
  <c r="O39" i="1"/>
  <c r="O42" i="1"/>
  <c r="O35" i="1"/>
  <c r="O28" i="1"/>
  <c r="O40" i="1"/>
  <c r="O46" i="1"/>
  <c r="O34" i="1"/>
  <c r="O23" i="1"/>
  <c r="O27" i="1"/>
  <c r="O45" i="1"/>
  <c r="O26" i="1"/>
  <c r="O25" i="1"/>
  <c r="O31" i="1"/>
  <c r="O43" i="1"/>
  <c r="O44" i="1"/>
  <c r="O24" i="1"/>
  <c r="O21" i="1"/>
  <c r="O41" i="1"/>
  <c r="O32" i="1"/>
  <c r="C16" i="1"/>
  <c r="D18" i="1" s="1"/>
  <c r="W15" i="2"/>
  <c r="C11" i="2"/>
  <c r="C12" i="2"/>
  <c r="O47" i="2" l="1"/>
  <c r="O43" i="2"/>
  <c r="O39" i="2"/>
  <c r="O42" i="2"/>
  <c r="O29" i="2"/>
  <c r="O45" i="2"/>
  <c r="O35" i="2"/>
  <c r="O32" i="2"/>
  <c r="O24" i="2"/>
  <c r="O33" i="2"/>
  <c r="O28" i="2"/>
  <c r="O44" i="2"/>
  <c r="O36" i="2"/>
  <c r="O27" i="2"/>
  <c r="O37" i="2"/>
  <c r="O40" i="2"/>
  <c r="C15" i="2"/>
  <c r="C18" i="2" s="1"/>
  <c r="O25" i="2"/>
  <c r="O26" i="2"/>
  <c r="O34" i="2"/>
  <c r="O41" i="2"/>
  <c r="O31" i="2"/>
  <c r="O30" i="2"/>
  <c r="O38" i="2"/>
  <c r="O46" i="2"/>
  <c r="C16" i="2"/>
  <c r="D18" i="2" s="1"/>
  <c r="K47" i="2"/>
  <c r="E16" i="1"/>
  <c r="E17" i="1" s="1"/>
  <c r="C18" i="1"/>
  <c r="F18" i="2" l="1"/>
  <c r="F19" i="2" s="1"/>
</calcChain>
</file>

<file path=xl/sharedStrings.xml><?xml version="1.0" encoding="utf-8"?>
<sst xmlns="http://schemas.openxmlformats.org/spreadsheetml/2006/main" count="201" uniqueCount="66">
  <si>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</si>
  <si>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</si>
  <si>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</si>
  <si>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</si>
  <si>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</si>
  <si>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</si>
  <si>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</si>
  <si>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</si>
  <si>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</si>
  <si>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</si>
  <si>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</si>
  <si>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</si>
  <si>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</si>
  <si>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</si>
  <si>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</si>
  <si>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</si>
  <si>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</si>
  <si>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</si>
  <si>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</si>
  <si>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</si>
  <si>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</si>
  <si>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</si>
  <si>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</si>
  <si>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</si>
  <si>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</si>
  <si>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</si>
  <si>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</si>
  <si>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</si>
  <si>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</si>
  <si>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</si>
  <si>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</si>
  <si>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</si>
  <si>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</si>
  <si>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</si>
  <si>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</si>
  <si>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</si>
  <si>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</si>
  <si>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GW Leo / GSC 0843-0262</t>
  </si>
  <si>
    <t>EW</t>
  </si>
  <si>
    <t>OEJV 0074</t>
  </si>
  <si>
    <t>I</t>
  </si>
  <si>
    <t>vis</t>
  </si>
  <si>
    <t>OEJV 0094</t>
  </si>
  <si>
    <t>BAD?</t>
  </si>
  <si>
    <t>GCVS</t>
  </si>
  <si>
    <t>OEJV</t>
  </si>
  <si>
    <t>OEJV 0160</t>
  </si>
  <si>
    <t>II</t>
  </si>
  <si>
    <t>OEJV 0165</t>
  </si>
  <si>
    <t>OEJV 0168</t>
  </si>
  <si>
    <t>cycle readjustment possibly indicated</t>
  </si>
  <si>
    <t>Add cycle</t>
  </si>
  <si>
    <t>Old Cycle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</si>
  <si>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</si>
  <si>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</si>
  <si>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</si>
  <si>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</si>
  <si>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</si>
  <si>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</si>
  <si>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pg</t>
  </si>
  <si>
    <t>PE</t>
  </si>
  <si>
    <t>CCD</t>
  </si>
  <si>
    <t>Solver fails for some reason</t>
  </si>
  <si>
    <t>OEJV 0179</t>
  </si>
  <si>
    <t>OEJV 0211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</si>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</sst>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9"/>
      <name val="CourierNewPSMT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21" fillId="0" borderId="0"/>
    <xf numFmtId="0" fontId="25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5" xfId="0" applyBorder="1">
      <alignment vertical="top"/>
    </xf>
    <xf numFmtId="0" fontId="15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11" fontId="0" fillId="0" borderId="0" xfId="0" applyNumberFormat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12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4" fillId="0" borderId="0" xfId="0" applyFont="1" applyAlignment="1"/>
    <xf numFmtId="14" fontId="21" fillId="0" borderId="0" xfId="0" applyNumberFormat="1" applyFont="1" applyAlignment="1"/>
    <xf numFmtId="0" fontId="21" fillId="0" borderId="0" xfId="0" applyFont="1" applyAlignment="1"/>
    <xf numFmtId="0" fontId="22" fillId="0" borderId="0" xfId="0" applyFont="1" applyAlignment="1"/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9" fillId="0" borderId="0" xfId="41" applyFont="1"/>
    <xf numFmtId="0" fontId="39" fillId="0" borderId="0" xfId="41" applyFont="1" applyAlignment="1">
      <alignment horizontal="center"/>
    </xf>
    <xf numFmtId="0" fontId="39" fillId="0" borderId="0" xfId="41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5" fontId="40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Leo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'Axtive 1'!$H$20:$H$20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C-4C08-B172-FB10E993EC40}"/>
            </c:ext>
          </c:extLst>
        </c:ser>
        <c:ser>
          <c:idx val="1"/>
          <c:order val="1"/>
          <c:tx>
            <c:strRef>
              <c:f>'Axtive 1'!$I$20:$I$20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1'!$I$21:$I$999</c:f>
              <c:numCache>
                <c:formatCode>General</c:formatCode>
                <c:ptCount val="979"/>
                <c:pt idx="0">
                  <c:v>-2.670000001671724E-3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7C-4C08-B172-FB10E993EC40}"/>
            </c:ext>
          </c:extLst>
        </c:ser>
        <c:ser>
          <c:idx val="3"/>
          <c:order val="2"/>
          <c:tx>
            <c:strRef>
              <c:f>'Axtive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1'!$J$21:$J$999</c:f>
              <c:numCache>
                <c:formatCode>General</c:formatCode>
                <c:ptCount val="979"/>
                <c:pt idx="3">
                  <c:v>2.2279999997408595E-2</c:v>
                </c:pt>
                <c:pt idx="4">
                  <c:v>2.3399999998218846E-2</c:v>
                </c:pt>
                <c:pt idx="5">
                  <c:v>1.337999999668682E-2</c:v>
                </c:pt>
                <c:pt idx="6">
                  <c:v>1.3559999999415595E-2</c:v>
                </c:pt>
                <c:pt idx="7">
                  <c:v>5.1800000001094304E-3</c:v>
                </c:pt>
                <c:pt idx="8">
                  <c:v>5.8900000003632158E-3</c:v>
                </c:pt>
                <c:pt idx="9">
                  <c:v>3.390000005310867E-3</c:v>
                </c:pt>
                <c:pt idx="10">
                  <c:v>9.700000002339948E-3</c:v>
                </c:pt>
                <c:pt idx="11">
                  <c:v>1.3980000003357418E-2</c:v>
                </c:pt>
                <c:pt idx="12">
                  <c:v>1.1510000003909227E-2</c:v>
                </c:pt>
                <c:pt idx="13">
                  <c:v>1.2510000000474975E-2</c:v>
                </c:pt>
                <c:pt idx="14">
                  <c:v>-2.4100000002363231E-2</c:v>
                </c:pt>
                <c:pt idx="15">
                  <c:v>-2.1359999998821877E-2</c:v>
                </c:pt>
                <c:pt idx="16">
                  <c:v>-3.1759999998030253E-2</c:v>
                </c:pt>
                <c:pt idx="17">
                  <c:v>-2.9770000001008157E-2</c:v>
                </c:pt>
                <c:pt idx="18">
                  <c:v>-3.568000000086613E-2</c:v>
                </c:pt>
                <c:pt idx="19">
                  <c:v>-3.3129999996162951E-2</c:v>
                </c:pt>
                <c:pt idx="20">
                  <c:v>-2.9920000000856817E-2</c:v>
                </c:pt>
                <c:pt idx="21">
                  <c:v>-2.8409999998984858E-2</c:v>
                </c:pt>
                <c:pt idx="22">
                  <c:v>-3.8649999994959217E-2</c:v>
                </c:pt>
                <c:pt idx="23">
                  <c:v>-3.6329999995359685E-2</c:v>
                </c:pt>
                <c:pt idx="24">
                  <c:v>-4.5939999894471839E-2</c:v>
                </c:pt>
                <c:pt idx="25">
                  <c:v>-4.4860000052722171E-2</c:v>
                </c:pt>
                <c:pt idx="26">
                  <c:v>1.0160000005271286E-2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7C-4C08-B172-FB10E993EC40}"/>
            </c:ext>
          </c:extLst>
        </c:ser>
        <c:ser>
          <c:idx val="4"/>
          <c:order val="3"/>
          <c:tx>
            <c:strRef>
              <c:f>'Axtive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7C-4C08-B172-FB10E993EC40}"/>
            </c:ext>
          </c:extLst>
        </c:ser>
        <c:ser>
          <c:idx val="2"/>
          <c:order val="4"/>
          <c:tx>
            <c:strRef>
              <c:f>'Axtive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7C-4C08-B172-FB10E993EC40}"/>
            </c:ext>
          </c:extLst>
        </c:ser>
        <c:ser>
          <c:idx val="5"/>
          <c:order val="5"/>
          <c:tx>
            <c:strRef>
              <c:f>'Axtive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7C-4C08-B172-FB10E993EC40}"/>
            </c:ext>
          </c:extLst>
        </c:ser>
        <c:ser>
          <c:idx val="6"/>
          <c:order val="6"/>
          <c:tx>
            <c:strRef>
              <c:f>'Axtive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7C-4C08-B172-FB10E993EC40}"/>
            </c:ext>
          </c:extLst>
        </c:ser>
        <c:ser>
          <c:idx val="7"/>
          <c:order val="7"/>
          <c:tx>
            <c:strRef>
              <c:f>'Axtive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1'!$O$21:$O$999</c:f>
              <c:numCache>
                <c:formatCode>General</c:formatCode>
                <c:ptCount val="979"/>
                <c:pt idx="0">
                  <c:v>5.5362840976232085E-2</c:v>
                </c:pt>
                <c:pt idx="1">
                  <c:v>4.6021239977894611E-2</c:v>
                </c:pt>
                <c:pt idx="2">
                  <c:v>2.123878311583853E-2</c:v>
                </c:pt>
                <c:pt idx="3">
                  <c:v>5.424169772816595E-3</c:v>
                </c:pt>
                <c:pt idx="4">
                  <c:v>5.424169772816595E-3</c:v>
                </c:pt>
                <c:pt idx="5">
                  <c:v>5.6065057338208074E-4</c:v>
                </c:pt>
                <c:pt idx="6">
                  <c:v>5.6065057338208074E-4</c:v>
                </c:pt>
                <c:pt idx="7">
                  <c:v>2.9668435362410761E-4</c:v>
                </c:pt>
                <c:pt idx="8">
                  <c:v>2.9668435362410761E-4</c:v>
                </c:pt>
                <c:pt idx="9">
                  <c:v>-4.1393497288572251E-3</c:v>
                </c:pt>
                <c:pt idx="10">
                  <c:v>-4.1393497288572251E-3</c:v>
                </c:pt>
                <c:pt idx="11">
                  <c:v>-4.1393497288572251E-3</c:v>
                </c:pt>
                <c:pt idx="12">
                  <c:v>-8.8673818420442821E-3</c:v>
                </c:pt>
                <c:pt idx="13">
                  <c:v>-8.8673818420442821E-3</c:v>
                </c:pt>
                <c:pt idx="14">
                  <c:v>-9.9068948313566566E-3</c:v>
                </c:pt>
                <c:pt idx="15">
                  <c:v>-9.9068948313566566E-3</c:v>
                </c:pt>
                <c:pt idx="16">
                  <c:v>-1.47003345034218E-2</c:v>
                </c:pt>
                <c:pt idx="17">
                  <c:v>-1.47003345034218E-2</c:v>
                </c:pt>
                <c:pt idx="18">
                  <c:v>-1.4702670487667442E-2</c:v>
                </c:pt>
                <c:pt idx="19">
                  <c:v>-1.4702670487667442E-2</c:v>
                </c:pt>
                <c:pt idx="20">
                  <c:v>-1.4714350408895675E-2</c:v>
                </c:pt>
                <c:pt idx="21">
                  <c:v>-1.4714350408895675E-2</c:v>
                </c:pt>
                <c:pt idx="22">
                  <c:v>-1.4716686393141318E-2</c:v>
                </c:pt>
                <c:pt idx="23">
                  <c:v>-1.4716686393141318E-2</c:v>
                </c:pt>
                <c:pt idx="24">
                  <c:v>-2.4544172114573111E-2</c:v>
                </c:pt>
                <c:pt idx="25">
                  <c:v>-2.4544172114573111E-2</c:v>
                </c:pt>
                <c:pt idx="26">
                  <c:v>-5.0809978972614266E-2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7C-4C08-B172-FB10E993EC40}"/>
            </c:ext>
          </c:extLst>
        </c:ser>
        <c:ser>
          <c:idx val="8"/>
          <c:order val="8"/>
          <c:tx>
            <c:strRef>
              <c:f>'Axtive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1'!$R$21:$R$999</c:f>
              <c:numCache>
                <c:formatCode>General</c:formatCode>
                <c:ptCount val="979"/>
                <c:pt idx="2">
                  <c:v>-7.2249999997438863E-2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7C-4C08-B172-FB10E993E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0216"/>
        <c:axId val="1"/>
      </c:scatterChart>
      <c:valAx>
        <c:axId val="73663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0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46616541353384"/>
          <c:y val="0.92375366568914952"/>
          <c:w val="0.7593984962406015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Leo - O-C Diagr.</a:t>
            </a:r>
          </a:p>
        </c:rich>
      </c:tx>
      <c:layout>
        <c:manualLayout>
          <c:xMode val="edge"/>
          <c:yMode val="edge"/>
          <c:x val="0.38345864661654133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9E-4D23-9C84-278433E546B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0">
                  <c:v>-2.670000001671724E-3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9E-4D23-9C84-278433E546B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9E-4D23-9C84-278433E546B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2">
                  <c:v>-7.2249999997438863E-2</c:v>
                </c:pt>
                <c:pt idx="3">
                  <c:v>-0.14579000000230735</c:v>
                </c:pt>
                <c:pt idx="4">
                  <c:v>-0.1446700000014971</c:v>
                </c:pt>
                <c:pt idx="5">
                  <c:v>-0.15469000000302913</c:v>
                </c:pt>
                <c:pt idx="6">
                  <c:v>-0.15451000000030035</c:v>
                </c:pt>
                <c:pt idx="7">
                  <c:v>-0.16288999999960652</c:v>
                </c:pt>
                <c:pt idx="8">
                  <c:v>-0.16217999999935273</c:v>
                </c:pt>
                <c:pt idx="9">
                  <c:v>-0.16467999999440508</c:v>
                </c:pt>
                <c:pt idx="10">
                  <c:v>-0.158369999997376</c:v>
                </c:pt>
                <c:pt idx="11">
                  <c:v>-0.15408999999635853</c:v>
                </c:pt>
                <c:pt idx="12">
                  <c:v>-0.15655999999580672</c:v>
                </c:pt>
                <c:pt idx="13">
                  <c:v>-0.15555999999924097</c:v>
                </c:pt>
                <c:pt idx="14">
                  <c:v>-0.19217000000207918</c:v>
                </c:pt>
                <c:pt idx="15">
                  <c:v>-0.18942999999853782</c:v>
                </c:pt>
                <c:pt idx="16">
                  <c:v>-0.1998299999977462</c:v>
                </c:pt>
                <c:pt idx="17">
                  <c:v>-0.1978400000007241</c:v>
                </c:pt>
                <c:pt idx="18">
                  <c:v>-0.20375000000058208</c:v>
                </c:pt>
                <c:pt idx="19">
                  <c:v>-0.2011999999958789</c:v>
                </c:pt>
                <c:pt idx="20">
                  <c:v>-0.19799000000057276</c:v>
                </c:pt>
                <c:pt idx="21">
                  <c:v>-0.19647999999870081</c:v>
                </c:pt>
                <c:pt idx="22">
                  <c:v>-0.20671999999467516</c:v>
                </c:pt>
                <c:pt idx="23">
                  <c:v>-0.20439999999507563</c:v>
                </c:pt>
                <c:pt idx="24">
                  <c:v>-0.21400999989418779</c:v>
                </c:pt>
                <c:pt idx="25">
                  <c:v>-0.21293000005243812</c:v>
                </c:pt>
                <c:pt idx="26">
                  <c:v>-0.15790999999444466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9E-4D23-9C84-278433E546B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9E-4D23-9C84-278433E546B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9E-4D23-9C84-278433E546B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9E-4D23-9C84-278433E546B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3">
                  <c:v>-0.16264583022689935</c:v>
                </c:pt>
                <c:pt idx="4">
                  <c:v>-0.16264583022689935</c:v>
                </c:pt>
                <c:pt idx="5">
                  <c:v>-0.16750934942633386</c:v>
                </c:pt>
                <c:pt idx="6">
                  <c:v>-0.16750934942633386</c:v>
                </c:pt>
                <c:pt idx="7">
                  <c:v>-0.16777331564609183</c:v>
                </c:pt>
                <c:pt idx="8">
                  <c:v>-0.16777331564609183</c:v>
                </c:pt>
                <c:pt idx="9">
                  <c:v>-0.17220934972857319</c:v>
                </c:pt>
                <c:pt idx="10">
                  <c:v>-0.17220934972857319</c:v>
                </c:pt>
                <c:pt idx="11">
                  <c:v>-0.17220934972857319</c:v>
                </c:pt>
                <c:pt idx="12">
                  <c:v>-0.17693738184176022</c:v>
                </c:pt>
                <c:pt idx="13">
                  <c:v>-0.17693738184176022</c:v>
                </c:pt>
                <c:pt idx="14">
                  <c:v>-0.1779768948310726</c:v>
                </c:pt>
                <c:pt idx="15">
                  <c:v>-0.1779768948310726</c:v>
                </c:pt>
                <c:pt idx="16">
                  <c:v>-0.18277033450313773</c:v>
                </c:pt>
                <c:pt idx="17">
                  <c:v>-0.18277033450313773</c:v>
                </c:pt>
                <c:pt idx="18">
                  <c:v>-0.18277267048738338</c:v>
                </c:pt>
                <c:pt idx="19">
                  <c:v>-0.18277267048738338</c:v>
                </c:pt>
                <c:pt idx="20">
                  <c:v>-0.18278435040861163</c:v>
                </c:pt>
                <c:pt idx="21">
                  <c:v>-0.18278435040861163</c:v>
                </c:pt>
                <c:pt idx="22">
                  <c:v>-0.18278668639285728</c:v>
                </c:pt>
                <c:pt idx="23">
                  <c:v>-0.18278668639285728</c:v>
                </c:pt>
                <c:pt idx="24">
                  <c:v>-0.19261417211428905</c:v>
                </c:pt>
                <c:pt idx="25">
                  <c:v>-0.19261417211428905</c:v>
                </c:pt>
                <c:pt idx="26">
                  <c:v>-0.21887997897233022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9E-4D23-9C84-278433E546B5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9E-4D23-9C84-278433E546B5}"/>
            </c:ext>
          </c:extLst>
        </c:ser>
        <c:ser>
          <c:idx val="9"/>
          <c:order val="9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2'!$V$2:$V$26</c:f>
              <c:numCache>
                <c:formatCode>General</c:formatCode>
                <c:ptCount val="25"/>
                <c:pt idx="0">
                  <c:v>-3000</c:v>
                </c:pt>
                <c:pt idx="1">
                  <c:v>-2000</c:v>
                </c:pt>
                <c:pt idx="2">
                  <c:v>-1000</c:v>
                </c:pt>
                <c:pt idx="3">
                  <c:v>0</c:v>
                </c:pt>
                <c:pt idx="4">
                  <c:v>1000</c:v>
                </c:pt>
                <c:pt idx="5">
                  <c:v>2000</c:v>
                </c:pt>
                <c:pt idx="6">
                  <c:v>3000</c:v>
                </c:pt>
                <c:pt idx="7">
                  <c:v>4000</c:v>
                </c:pt>
                <c:pt idx="8">
                  <c:v>5000</c:v>
                </c:pt>
                <c:pt idx="9">
                  <c:v>6000</c:v>
                </c:pt>
                <c:pt idx="10">
                  <c:v>7000</c:v>
                </c:pt>
                <c:pt idx="11">
                  <c:v>8000</c:v>
                </c:pt>
                <c:pt idx="12">
                  <c:v>9000</c:v>
                </c:pt>
                <c:pt idx="13">
                  <c:v>10000</c:v>
                </c:pt>
                <c:pt idx="14">
                  <c:v>11000</c:v>
                </c:pt>
                <c:pt idx="15">
                  <c:v>12000</c:v>
                </c:pt>
              </c:numCache>
            </c:numRef>
          </c:xVal>
          <c:yVal>
            <c:numRef>
              <c:f>'Active 2'!$W$2:$W$26</c:f>
              <c:numCache>
                <c:formatCode>General</c:formatCode>
                <c:ptCount val="25"/>
                <c:pt idx="0">
                  <c:v>1.8550000000000004E-2</c:v>
                </c:pt>
                <c:pt idx="1">
                  <c:v>1.3550000000000003E-2</c:v>
                </c:pt>
                <c:pt idx="2">
                  <c:v>7.3500000000000024E-3</c:v>
                </c:pt>
                <c:pt idx="3">
                  <c:v>-5.0000000000000002E-5</c:v>
                </c:pt>
                <c:pt idx="4">
                  <c:v>-8.6500000000000014E-3</c:v>
                </c:pt>
                <c:pt idx="5">
                  <c:v>-1.8450000000000005E-2</c:v>
                </c:pt>
                <c:pt idx="6">
                  <c:v>-2.9450000000000004E-2</c:v>
                </c:pt>
                <c:pt idx="7">
                  <c:v>-4.1650000000000006E-2</c:v>
                </c:pt>
                <c:pt idx="8">
                  <c:v>-5.5050000000000009E-2</c:v>
                </c:pt>
                <c:pt idx="9">
                  <c:v>-6.9650000000000017E-2</c:v>
                </c:pt>
                <c:pt idx="10">
                  <c:v>-8.5450000000000012E-2</c:v>
                </c:pt>
                <c:pt idx="11">
                  <c:v>-0.10245000000000001</c:v>
                </c:pt>
                <c:pt idx="12">
                  <c:v>-0.12065000000000001</c:v>
                </c:pt>
                <c:pt idx="13">
                  <c:v>-0.14005000000000001</c:v>
                </c:pt>
                <c:pt idx="14">
                  <c:v>-0.16065000000000002</c:v>
                </c:pt>
                <c:pt idx="15">
                  <c:v>-0.18245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A9E-4D23-9C84-278433E54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1856"/>
        <c:axId val="1"/>
      </c:scatterChart>
      <c:valAx>
        <c:axId val="73663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1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90977443609023"/>
          <c:y val="0.92441860465116277"/>
          <c:w val="0.80451127819548873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17</xdr:col>
      <xdr:colOff>323850</xdr:colOff>
      <xdr:row>18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28AF00D-6EE2-93F9-F37B-E2A065D68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A30FB99A-D997-74DA-7BF9-5E1EA8606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D7" sqref="D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>
      <c r="A1" s="1" t="s">
        <v>37</v>
      </c>
    </row>
    <row r="2" spans="1:19">
      <c r="A2" t="s">
        <v>24</v>
      </c>
      <c r="B2" s="29" t="s">
        <v>38</v>
      </c>
      <c r="C2" s="3"/>
      <c r="D2" s="3"/>
    </row>
    <row r="3" spans="1:19" ht="13.5" thickBot="1">
      <c r="C3" s="26" t="s">
        <v>50</v>
      </c>
    </row>
    <row r="4" spans="1:19" ht="14.25" thickTop="1" thickBot="1">
      <c r="A4" s="5" t="s">
        <v>0</v>
      </c>
      <c r="C4" s="8">
        <v>52721.527999999998</v>
      </c>
      <c r="D4" s="9">
        <v>0.33613999999999999</v>
      </c>
    </row>
    <row r="6" spans="1:19">
      <c r="A6" s="5" t="s">
        <v>1</v>
      </c>
      <c r="R6">
        <v>54504.421642610658</v>
      </c>
      <c r="S6">
        <v>0.33614133533383428</v>
      </c>
    </row>
    <row r="7" spans="1:19">
      <c r="A7" t="s">
        <v>2</v>
      </c>
      <c r="C7">
        <f>+C4</f>
        <v>52721.527999999998</v>
      </c>
    </row>
    <row r="8" spans="1:19">
      <c r="A8" t="s">
        <v>3</v>
      </c>
      <c r="C8">
        <f>+D4</f>
        <v>0.33613999999999999</v>
      </c>
    </row>
    <row r="9" spans="1:19">
      <c r="A9" s="11" t="s">
        <v>30</v>
      </c>
      <c r="B9" s="12"/>
      <c r="C9" s="13">
        <v>-9.5</v>
      </c>
      <c r="D9" s="12" t="s">
        <v>31</v>
      </c>
      <c r="E9" s="12"/>
    </row>
    <row r="10" spans="1:19" ht="13.5" thickBot="1">
      <c r="A10" s="12"/>
      <c r="B10" s="12"/>
      <c r="C10" s="4" t="s">
        <v>20</v>
      </c>
      <c r="D10" s="4" t="s">
        <v>21</v>
      </c>
      <c r="E10" s="12"/>
    </row>
    <row r="11" spans="1:19">
      <c r="A11" s="12" t="s">
        <v>16</v>
      </c>
      <c r="B11" s="12"/>
      <c r="C11" s="24">
        <f ca="1">INTERCEPT(INDIRECT($G$11):G992,INDIRECT($F$11):F992)</f>
        <v>4.6021239977894611E-2</v>
      </c>
      <c r="D11" s="3"/>
      <c r="E11" s="12"/>
      <c r="F11" s="25" t="str">
        <f>"F"&amp;E19</f>
        <v>F24</v>
      </c>
      <c r="G11" s="26" t="str">
        <f>"G"&amp;E19</f>
        <v>G24</v>
      </c>
    </row>
    <row r="12" spans="1:19">
      <c r="A12" s="12" t="s">
        <v>17</v>
      </c>
      <c r="B12" s="12"/>
      <c r="C12" s="24">
        <f ca="1">SLOPE(INDIRECT($G$11):G992,INDIRECT($F$11):F992)</f>
        <v>-4.6719684912915602E-6</v>
      </c>
      <c r="D12" s="3"/>
      <c r="E12" s="12"/>
    </row>
    <row r="13" spans="1:19">
      <c r="A13" s="12" t="s">
        <v>19</v>
      </c>
      <c r="B13" s="12"/>
      <c r="C13" s="3" t="s">
        <v>14</v>
      </c>
      <c r="D13" s="3"/>
      <c r="E13" s="12"/>
    </row>
    <row r="14" spans="1:19">
      <c r="A14" s="12"/>
      <c r="B14" s="12"/>
      <c r="C14" s="12"/>
      <c r="D14" s="12"/>
      <c r="E14" s="12"/>
    </row>
    <row r="15" spans="1:19">
      <c r="A15" s="14" t="s">
        <v>18</v>
      </c>
      <c r="B15" s="12"/>
      <c r="C15" s="15">
        <f ca="1">(C7+C11)+(C8+C12)*INT(MAX(F21:F3533))</f>
        <v>59688.314830021023</v>
      </c>
      <c r="D15" s="16" t="s">
        <v>32</v>
      </c>
      <c r="E15" s="17">
        <f ca="1">TODAY()+15018.5-B9/24</f>
        <v>60357.5</v>
      </c>
    </row>
    <row r="16" spans="1:19">
      <c r="A16" s="18" t="s">
        <v>4</v>
      </c>
      <c r="B16" s="12"/>
      <c r="C16" s="19">
        <f ca="1">+C8+C12</f>
        <v>0.3361353280315087</v>
      </c>
      <c r="D16" s="16" t="s">
        <v>33</v>
      </c>
      <c r="E16" s="17">
        <f ca="1">ROUND(2*(E15-C15)/C16,0)/2+1</f>
        <v>1992</v>
      </c>
    </row>
    <row r="17" spans="1:18" ht="13.5" thickBot="1">
      <c r="A17" s="16" t="s">
        <v>29</v>
      </c>
      <c r="B17" s="12"/>
      <c r="C17" s="12">
        <f>COUNT(C21:C2191)</f>
        <v>27</v>
      </c>
      <c r="D17" s="16" t="s">
        <v>34</v>
      </c>
      <c r="E17" s="20">
        <f ca="1">+C15+C16*E16-15018.5-C9/24</f>
        <v>45339.792236793124</v>
      </c>
    </row>
    <row r="18" spans="1:18" ht="14.25" thickTop="1" thickBot="1">
      <c r="A18" s="18" t="s">
        <v>5</v>
      </c>
      <c r="B18" s="12"/>
      <c r="C18" s="21">
        <f ca="1">+C15</f>
        <v>59688.314830021023</v>
      </c>
      <c r="D18" s="22">
        <f ca="1">+C16</f>
        <v>0.3361353280315087</v>
      </c>
      <c r="E18" s="23" t="s">
        <v>35</v>
      </c>
    </row>
    <row r="19" spans="1:18" ht="13.5" thickTop="1">
      <c r="A19" s="27" t="s">
        <v>36</v>
      </c>
      <c r="E19" s="28">
        <v>24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61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  <c r="R20" s="30" t="s">
        <v>43</v>
      </c>
    </row>
    <row r="21" spans="1:18">
      <c r="A21" s="31" t="s">
        <v>39</v>
      </c>
      <c r="B21" s="32" t="s">
        <v>40</v>
      </c>
      <c r="C21" s="31">
        <v>52049.413399999998</v>
      </c>
      <c r="D21" s="31" t="s">
        <v>41</v>
      </c>
      <c r="E21">
        <f>+(C21-C$7)/C$8</f>
        <v>-1999.5079431189408</v>
      </c>
      <c r="F21">
        <f>ROUND(2*E21,0)/2</f>
        <v>-1999.5</v>
      </c>
      <c r="G21">
        <f>+C21-(C$7+F21*C$8)</f>
        <v>-2.670000001671724E-3</v>
      </c>
      <c r="I21">
        <f>+G21</f>
        <v>-2.670000001671724E-3</v>
      </c>
      <c r="O21">
        <f ca="1">+C$11+C$12*$F21</f>
        <v>5.5362840976232085E-2</v>
      </c>
      <c r="Q21" s="2">
        <f>+C21-15018.5</f>
        <v>37030.913399999998</v>
      </c>
    </row>
    <row r="22" spans="1:18">
      <c r="A22" s="33" t="s">
        <v>12</v>
      </c>
      <c r="B22" s="33"/>
      <c r="C22" s="31">
        <v>52721.527999999998</v>
      </c>
      <c r="D22" s="31" t="s">
        <v>14</v>
      </c>
      <c r="E22">
        <f>+(C22-C$7)/C$8</f>
        <v>0</v>
      </c>
      <c r="F22">
        <f>ROUND(2*E22,0)/2</f>
        <v>0</v>
      </c>
      <c r="G22">
        <f>+C22-(C$7+F22*C$8)</f>
        <v>0</v>
      </c>
      <c r="H22">
        <f>G22</f>
        <v>0</v>
      </c>
      <c r="O22">
        <f ca="1">+C$11+C$12*$F22</f>
        <v>4.6021239977894611E-2</v>
      </c>
      <c r="Q22" s="2">
        <f>+C22-15018.5</f>
        <v>37703.027999999998</v>
      </c>
    </row>
    <row r="23" spans="1:18">
      <c r="A23" s="31" t="s">
        <v>42</v>
      </c>
      <c r="B23" s="32" t="s">
        <v>40</v>
      </c>
      <c r="C23" s="31">
        <v>54504.51038</v>
      </c>
      <c r="D23" s="31">
        <v>4.0000000000000002E-4</v>
      </c>
      <c r="E23">
        <f>+(C23-C$7)/C$8</f>
        <v>5304.2850597965171</v>
      </c>
      <c r="F23">
        <f>ROUND(2*E23,0)/2</f>
        <v>5304.5</v>
      </c>
      <c r="O23">
        <f ca="1">+C$11+C$12*$F23</f>
        <v>2.123878311583853E-2</v>
      </c>
      <c r="Q23" s="2">
        <f>+C23-15018.5</f>
        <v>39486.01038</v>
      </c>
      <c r="R23">
        <f>+C23-(C$7+F23*C$8)</f>
        <v>-7.2249999997438863E-2</v>
      </c>
    </row>
    <row r="24" spans="1:18">
      <c r="A24" s="34" t="s">
        <v>46</v>
      </c>
      <c r="B24" s="35" t="s">
        <v>40</v>
      </c>
      <c r="C24" s="36">
        <v>55642.43881</v>
      </c>
      <c r="D24" s="36">
        <v>6.9999999999999999E-4</v>
      </c>
      <c r="E24">
        <f t="shared" ref="E24:E36" si="0">+(C24-C$7)/C$8</f>
        <v>8689.5662819063527</v>
      </c>
      <c r="F24">
        <f t="shared" ref="F24:F36" si="1">ROUND(2*E24,0)/2</f>
        <v>8689.5</v>
      </c>
      <c r="G24">
        <f t="shared" ref="G24:G36" si="2">+C24-(C$7+F24*C$8)</f>
        <v>2.2279999997408595E-2</v>
      </c>
      <c r="J24">
        <f>+G24</f>
        <v>2.2279999997408595E-2</v>
      </c>
      <c r="O24">
        <f t="shared" ref="O24:O36" ca="1" si="3">+C$11+C$12*$F24</f>
        <v>5.424169772816595E-3</v>
      </c>
      <c r="Q24" s="2">
        <f t="shared" ref="Q24:Q36" si="4">+C24-15018.5</f>
        <v>40623.93881</v>
      </c>
    </row>
    <row r="25" spans="1:18">
      <c r="A25" s="34" t="s">
        <v>46</v>
      </c>
      <c r="B25" s="35" t="s">
        <v>40</v>
      </c>
      <c r="C25" s="36">
        <v>55642.43993</v>
      </c>
      <c r="D25" s="36">
        <v>5.9999999999999995E-4</v>
      </c>
      <c r="E25">
        <f t="shared" si="0"/>
        <v>8689.5696138513777</v>
      </c>
      <c r="F25">
        <f t="shared" si="1"/>
        <v>8689.5</v>
      </c>
      <c r="G25">
        <f t="shared" si="2"/>
        <v>2.3399999998218846E-2</v>
      </c>
      <c r="J25">
        <f>+G25</f>
        <v>2.3399999998218846E-2</v>
      </c>
      <c r="O25">
        <f t="shared" ca="1" si="3"/>
        <v>5.424169772816595E-3</v>
      </c>
      <c r="Q25" s="2">
        <f t="shared" si="4"/>
        <v>40623.93993</v>
      </c>
    </row>
    <row r="26" spans="1:18">
      <c r="A26" s="34" t="s">
        <v>46</v>
      </c>
      <c r="B26" s="35" t="s">
        <v>40</v>
      </c>
      <c r="C26" s="36">
        <v>55992.351649999997</v>
      </c>
      <c r="D26" s="36">
        <v>8.9999999999999998E-4</v>
      </c>
      <c r="E26">
        <f t="shared" si="0"/>
        <v>9730.5398048432162</v>
      </c>
      <c r="F26">
        <f t="shared" si="1"/>
        <v>9730.5</v>
      </c>
      <c r="G26">
        <f t="shared" si="2"/>
        <v>1.337999999668682E-2</v>
      </c>
      <c r="J26">
        <f>+G26</f>
        <v>1.337999999668682E-2</v>
      </c>
      <c r="O26">
        <f t="shared" ca="1" si="3"/>
        <v>5.6065057338208074E-4</v>
      </c>
      <c r="Q26" s="2">
        <f t="shared" si="4"/>
        <v>40973.851649999997</v>
      </c>
    </row>
    <row r="27" spans="1:18">
      <c r="A27" s="34" t="s">
        <v>46</v>
      </c>
      <c r="B27" s="35" t="s">
        <v>40</v>
      </c>
      <c r="C27" s="36">
        <v>55992.35183</v>
      </c>
      <c r="D27" s="36">
        <v>5.0000000000000001E-4</v>
      </c>
      <c r="E27">
        <f t="shared" si="0"/>
        <v>9730.540340334388</v>
      </c>
      <c r="F27">
        <f t="shared" si="1"/>
        <v>9730.5</v>
      </c>
      <c r="G27">
        <f t="shared" si="2"/>
        <v>1.3559999999415595E-2</v>
      </c>
      <c r="J27">
        <f>+G27</f>
        <v>1.3559999999415595E-2</v>
      </c>
      <c r="O27">
        <f t="shared" ca="1" si="3"/>
        <v>5.6065057338208074E-4</v>
      </c>
      <c r="Q27" s="2">
        <f t="shared" si="4"/>
        <v>40973.85183</v>
      </c>
    </row>
    <row r="28" spans="1:18">
      <c r="A28" s="34" t="s">
        <v>46</v>
      </c>
      <c r="B28" s="35" t="s">
        <v>47</v>
      </c>
      <c r="C28" s="36">
        <v>56011.335359999997</v>
      </c>
      <c r="D28" s="36">
        <v>6.9999999999999999E-4</v>
      </c>
      <c r="E28">
        <f t="shared" si="0"/>
        <v>9787.0154102457273</v>
      </c>
      <c r="F28">
        <f t="shared" si="1"/>
        <v>9787</v>
      </c>
      <c r="G28">
        <f t="shared" si="2"/>
        <v>5.1800000001094304E-3</v>
      </c>
      <c r="J28">
        <f>+G28</f>
        <v>5.1800000001094304E-3</v>
      </c>
      <c r="O28">
        <f t="shared" ca="1" si="3"/>
        <v>2.9668435362410761E-4</v>
      </c>
      <c r="Q28" s="2">
        <f t="shared" si="4"/>
        <v>40992.835359999997</v>
      </c>
    </row>
    <row r="29" spans="1:18">
      <c r="A29" s="34" t="s">
        <v>46</v>
      </c>
      <c r="B29" s="35" t="s">
        <v>47</v>
      </c>
      <c r="C29" s="36">
        <v>56011.336069999998</v>
      </c>
      <c r="D29" s="36">
        <v>4.0000000000000002E-4</v>
      </c>
      <c r="E29">
        <f t="shared" si="0"/>
        <v>9787.0175224608774</v>
      </c>
      <c r="F29">
        <f t="shared" si="1"/>
        <v>9787</v>
      </c>
      <c r="G29">
        <f t="shared" si="2"/>
        <v>5.8900000003632158E-3</v>
      </c>
      <c r="J29">
        <f>+G29</f>
        <v>5.8900000003632158E-3</v>
      </c>
      <c r="O29">
        <f t="shared" ca="1" si="3"/>
        <v>2.9668435362410761E-4</v>
      </c>
      <c r="Q29" s="2">
        <f t="shared" si="4"/>
        <v>40992.836069999998</v>
      </c>
    </row>
    <row r="30" spans="1:18">
      <c r="A30" s="34" t="s">
        <v>46</v>
      </c>
      <c r="B30" s="35" t="s">
        <v>40</v>
      </c>
      <c r="C30" s="36">
        <v>56330.498500000002</v>
      </c>
      <c r="D30" s="36">
        <v>6.9999999999999999E-4</v>
      </c>
      <c r="E30">
        <f t="shared" si="0"/>
        <v>10736.510085083606</v>
      </c>
      <c r="F30">
        <f t="shared" si="1"/>
        <v>10736.5</v>
      </c>
      <c r="G30">
        <f t="shared" si="2"/>
        <v>3.390000005310867E-3</v>
      </c>
      <c r="J30">
        <f>+G30</f>
        <v>3.390000005310867E-3</v>
      </c>
      <c r="O30">
        <f t="shared" ca="1" si="3"/>
        <v>-4.1393497288572251E-3</v>
      </c>
      <c r="Q30" s="2">
        <f t="shared" si="4"/>
        <v>41311.998500000002</v>
      </c>
    </row>
    <row r="31" spans="1:18">
      <c r="A31" s="37" t="s">
        <v>48</v>
      </c>
      <c r="B31" s="38"/>
      <c r="C31" s="37">
        <v>56330.504809999999</v>
      </c>
      <c r="D31" s="37">
        <v>7.1000000000000002E-4</v>
      </c>
      <c r="E31">
        <f t="shared" si="0"/>
        <v>10736.528857023859</v>
      </c>
      <c r="F31">
        <f t="shared" si="1"/>
        <v>10736.5</v>
      </c>
      <c r="G31">
        <f t="shared" si="2"/>
        <v>9.700000002339948E-3</v>
      </c>
      <c r="J31">
        <f>+G31</f>
        <v>9.700000002339948E-3</v>
      </c>
      <c r="O31">
        <f t="shared" ca="1" si="3"/>
        <v>-4.1393497288572251E-3</v>
      </c>
      <c r="Q31" s="2">
        <f t="shared" si="4"/>
        <v>41312.004809999999</v>
      </c>
    </row>
    <row r="32" spans="1:18">
      <c r="A32" s="34" t="s">
        <v>46</v>
      </c>
      <c r="B32" s="35" t="s">
        <v>40</v>
      </c>
      <c r="C32" s="36">
        <v>56330.50909</v>
      </c>
      <c r="D32" s="36">
        <v>1.1000000000000001E-3</v>
      </c>
      <c r="E32">
        <f t="shared" si="0"/>
        <v>10736.541589813771</v>
      </c>
      <c r="F32">
        <f t="shared" si="1"/>
        <v>10736.5</v>
      </c>
      <c r="G32">
        <f t="shared" si="2"/>
        <v>1.3980000003357418E-2</v>
      </c>
      <c r="J32">
        <f>+G32</f>
        <v>1.3980000003357418E-2</v>
      </c>
      <c r="O32">
        <f t="shared" ca="1" si="3"/>
        <v>-4.1393497288572251E-3</v>
      </c>
      <c r="Q32" s="2">
        <f t="shared" si="4"/>
        <v>41312.00909</v>
      </c>
    </row>
    <row r="33" spans="1:17">
      <c r="A33" s="37" t="s">
        <v>49</v>
      </c>
      <c r="B33" s="38" t="s">
        <v>40</v>
      </c>
      <c r="C33" s="39">
        <v>56670.6803</v>
      </c>
      <c r="D33" s="37">
        <v>4.0000000000000002E-4</v>
      </c>
      <c r="E33">
        <f t="shared" si="0"/>
        <v>11748.534241685016</v>
      </c>
      <c r="F33">
        <f t="shared" si="1"/>
        <v>11748.5</v>
      </c>
      <c r="G33">
        <f t="shared" si="2"/>
        <v>1.1510000003909227E-2</v>
      </c>
      <c r="J33">
        <f>+G33</f>
        <v>1.1510000003909227E-2</v>
      </c>
      <c r="O33">
        <f t="shared" ca="1" si="3"/>
        <v>-8.8673818420442821E-3</v>
      </c>
      <c r="Q33" s="2">
        <f t="shared" si="4"/>
        <v>41652.1803</v>
      </c>
    </row>
    <row r="34" spans="1:17">
      <c r="A34" s="37" t="s">
        <v>49</v>
      </c>
      <c r="B34" s="38" t="s">
        <v>40</v>
      </c>
      <c r="C34" s="39">
        <v>56670.681299999997</v>
      </c>
      <c r="D34" s="37">
        <v>1E-3</v>
      </c>
      <c r="E34">
        <f t="shared" si="0"/>
        <v>11748.537216635919</v>
      </c>
      <c r="F34">
        <f t="shared" si="1"/>
        <v>11748.5</v>
      </c>
      <c r="G34">
        <f t="shared" si="2"/>
        <v>1.2510000000474975E-2</v>
      </c>
      <c r="J34">
        <f>+G34</f>
        <v>1.2510000000474975E-2</v>
      </c>
      <c r="O34">
        <f t="shared" ca="1" si="3"/>
        <v>-8.8673818420442821E-3</v>
      </c>
      <c r="Q34" s="2">
        <f t="shared" si="4"/>
        <v>41652.181299999997</v>
      </c>
    </row>
    <row r="35" spans="1:17">
      <c r="A35" s="37" t="s">
        <v>49</v>
      </c>
      <c r="B35" s="38" t="s">
        <v>47</v>
      </c>
      <c r="C35" s="39">
        <v>56745.435839999998</v>
      </c>
      <c r="D35" s="37">
        <v>8.0000000000000004E-4</v>
      </c>
      <c r="E35">
        <f t="shared" si="0"/>
        <v>11970.928303682989</v>
      </c>
      <c r="F35">
        <f t="shared" si="1"/>
        <v>11971</v>
      </c>
      <c r="G35">
        <f t="shared" si="2"/>
        <v>-2.4100000002363231E-2</v>
      </c>
      <c r="J35">
        <f>+G35</f>
        <v>-2.4100000002363231E-2</v>
      </c>
      <c r="O35">
        <f t="shared" ca="1" si="3"/>
        <v>-9.9068948313566566E-3</v>
      </c>
      <c r="Q35" s="2">
        <f t="shared" si="4"/>
        <v>41726.935839999998</v>
      </c>
    </row>
    <row r="36" spans="1:17">
      <c r="A36" s="37" t="s">
        <v>49</v>
      </c>
      <c r="B36" s="38" t="s">
        <v>47</v>
      </c>
      <c r="C36" s="39">
        <v>56745.438580000002</v>
      </c>
      <c r="D36" s="37">
        <v>5.0000000000000001E-4</v>
      </c>
      <c r="E36">
        <f t="shared" si="0"/>
        <v>11970.936455048502</v>
      </c>
      <c r="F36">
        <f t="shared" si="1"/>
        <v>11971</v>
      </c>
      <c r="G36">
        <f t="shared" si="2"/>
        <v>-2.1359999998821877E-2</v>
      </c>
      <c r="J36">
        <f>+G36</f>
        <v>-2.1359999998821877E-2</v>
      </c>
      <c r="O36">
        <f t="shared" ca="1" si="3"/>
        <v>-9.9068948313566566E-3</v>
      </c>
      <c r="Q36" s="2">
        <f t="shared" si="4"/>
        <v>41726.938580000002</v>
      </c>
    </row>
    <row r="37" spans="1:17">
      <c r="A37" s="60" t="s">
        <v>63</v>
      </c>
      <c r="B37" s="61" t="s">
        <v>47</v>
      </c>
      <c r="C37" s="62">
        <v>57090.307820000002</v>
      </c>
      <c r="D37" s="62">
        <v>8.0000000000000004E-4</v>
      </c>
      <c r="E37">
        <f t="shared" ref="E37:E46" si="5">+(C37-C$7)/C$8</f>
        <v>12996.905515559003</v>
      </c>
      <c r="F37">
        <f t="shared" ref="F37:F46" si="6">ROUND(2*E37,0)/2</f>
        <v>12997</v>
      </c>
      <c r="G37">
        <f t="shared" ref="G37:G46" si="7">+C37-(C$7+F37*C$8)</f>
        <v>-3.1759999998030253E-2</v>
      </c>
      <c r="J37">
        <f>+G37</f>
        <v>-3.1759999998030253E-2</v>
      </c>
      <c r="O37">
        <f t="shared" ref="O37:O46" ca="1" si="8">+C$11+C$12*$F37</f>
        <v>-1.47003345034218E-2</v>
      </c>
      <c r="Q37" s="2">
        <f t="shared" ref="Q37:Q46" si="9">+C37-15018.5</f>
        <v>42071.807820000002</v>
      </c>
    </row>
    <row r="38" spans="1:17">
      <c r="A38" s="60" t="s">
        <v>63</v>
      </c>
      <c r="B38" s="61" t="s">
        <v>47</v>
      </c>
      <c r="C38" s="62">
        <v>57090.309809999999</v>
      </c>
      <c r="D38" s="62">
        <v>5.9999999999999995E-4</v>
      </c>
      <c r="E38">
        <f t="shared" si="5"/>
        <v>12996.911435711312</v>
      </c>
      <c r="F38">
        <f t="shared" si="6"/>
        <v>12997</v>
      </c>
      <c r="G38">
        <f t="shared" si="7"/>
        <v>-2.9770000001008157E-2</v>
      </c>
      <c r="J38">
        <f>+G38</f>
        <v>-2.9770000001008157E-2</v>
      </c>
      <c r="O38">
        <f t="shared" ca="1" si="8"/>
        <v>-1.47003345034218E-2</v>
      </c>
      <c r="Q38" s="2">
        <f t="shared" si="9"/>
        <v>42071.809809999999</v>
      </c>
    </row>
    <row r="39" spans="1:17">
      <c r="A39" s="60" t="s">
        <v>63</v>
      </c>
      <c r="B39" s="61" t="s">
        <v>40</v>
      </c>
      <c r="C39" s="62">
        <v>57090.471969999999</v>
      </c>
      <c r="D39" s="62">
        <v>6.9999999999999999E-4</v>
      </c>
      <c r="E39">
        <f t="shared" si="5"/>
        <v>12997.393853751415</v>
      </c>
      <c r="F39">
        <f t="shared" si="6"/>
        <v>12997.5</v>
      </c>
      <c r="G39">
        <f t="shared" si="7"/>
        <v>-3.568000000086613E-2</v>
      </c>
      <c r="J39">
        <f>+G39</f>
        <v>-3.568000000086613E-2</v>
      </c>
      <c r="O39">
        <f t="shared" ca="1" si="8"/>
        <v>-1.4702670487667442E-2</v>
      </c>
      <c r="Q39" s="2">
        <f t="shared" si="9"/>
        <v>42071.971969999999</v>
      </c>
    </row>
    <row r="40" spans="1:17">
      <c r="A40" s="60" t="s">
        <v>63</v>
      </c>
      <c r="B40" s="61" t="s">
        <v>40</v>
      </c>
      <c r="C40" s="62">
        <v>57090.474520000003</v>
      </c>
      <c r="D40" s="62">
        <v>1.1999999999999999E-3</v>
      </c>
      <c r="E40">
        <f t="shared" si="5"/>
        <v>12997.401439876257</v>
      </c>
      <c r="F40">
        <f t="shared" si="6"/>
        <v>12997.5</v>
      </c>
      <c r="G40">
        <f t="shared" si="7"/>
        <v>-3.3129999996162951E-2</v>
      </c>
      <c r="J40">
        <f>+G40</f>
        <v>-3.3129999996162951E-2</v>
      </c>
      <c r="O40">
        <f t="shared" ca="1" si="8"/>
        <v>-1.4702670487667442E-2</v>
      </c>
      <c r="Q40" s="2">
        <f t="shared" si="9"/>
        <v>42071.974520000003</v>
      </c>
    </row>
    <row r="41" spans="1:17">
      <c r="A41" s="60" t="s">
        <v>63</v>
      </c>
      <c r="B41" s="61" t="s">
        <v>47</v>
      </c>
      <c r="C41" s="62">
        <v>57091.318079999997</v>
      </c>
      <c r="D41" s="62">
        <v>8.0000000000000004E-4</v>
      </c>
      <c r="E41">
        <f t="shared" si="5"/>
        <v>12999.91098946867</v>
      </c>
      <c r="F41">
        <f t="shared" si="6"/>
        <v>13000</v>
      </c>
      <c r="G41">
        <f t="shared" si="7"/>
        <v>-2.9920000000856817E-2</v>
      </c>
      <c r="J41">
        <f>+G41</f>
        <v>-2.9920000000856817E-2</v>
      </c>
      <c r="O41">
        <f t="shared" ca="1" si="8"/>
        <v>-1.4714350408895675E-2</v>
      </c>
      <c r="Q41" s="2">
        <f t="shared" si="9"/>
        <v>42072.818079999997</v>
      </c>
    </row>
    <row r="42" spans="1:17">
      <c r="A42" s="60" t="s">
        <v>63</v>
      </c>
      <c r="B42" s="61" t="s">
        <v>47</v>
      </c>
      <c r="C42" s="62">
        <v>57091.319589999999</v>
      </c>
      <c r="D42" s="62">
        <v>6.9999999999999999E-4</v>
      </c>
      <c r="E42">
        <f t="shared" si="5"/>
        <v>12999.915481644555</v>
      </c>
      <c r="F42">
        <f t="shared" si="6"/>
        <v>13000</v>
      </c>
      <c r="G42">
        <f t="shared" si="7"/>
        <v>-2.8409999998984858E-2</v>
      </c>
      <c r="J42">
        <f>+G42</f>
        <v>-2.8409999998984858E-2</v>
      </c>
      <c r="O42">
        <f t="shared" ca="1" si="8"/>
        <v>-1.4714350408895675E-2</v>
      </c>
      <c r="Q42" s="2">
        <f t="shared" si="9"/>
        <v>42072.819589999999</v>
      </c>
    </row>
    <row r="43" spans="1:17">
      <c r="A43" s="60" t="s">
        <v>63</v>
      </c>
      <c r="B43" s="61" t="s">
        <v>40</v>
      </c>
      <c r="C43" s="62">
        <v>57091.477420000003</v>
      </c>
      <c r="D43" s="62">
        <v>6.9999999999999999E-4</v>
      </c>
      <c r="E43">
        <f t="shared" si="5"/>
        <v>13000.385018147213</v>
      </c>
      <c r="F43">
        <f t="shared" si="6"/>
        <v>13000.5</v>
      </c>
      <c r="G43">
        <f t="shared" si="7"/>
        <v>-3.8649999994959217E-2</v>
      </c>
      <c r="J43">
        <f>+G43</f>
        <v>-3.8649999994959217E-2</v>
      </c>
      <c r="O43">
        <f t="shared" ca="1" si="8"/>
        <v>-1.4716686393141318E-2</v>
      </c>
      <c r="Q43" s="2">
        <f t="shared" si="9"/>
        <v>42072.977420000003</v>
      </c>
    </row>
    <row r="44" spans="1:17">
      <c r="A44" s="60" t="s">
        <v>63</v>
      </c>
      <c r="B44" s="61" t="s">
        <v>40</v>
      </c>
      <c r="C44" s="62">
        <v>57091.479740000002</v>
      </c>
      <c r="D44" s="62">
        <v>5.9999999999999995E-4</v>
      </c>
      <c r="E44">
        <f t="shared" si="5"/>
        <v>13000.391920033331</v>
      </c>
      <c r="F44">
        <f t="shared" si="6"/>
        <v>13000.5</v>
      </c>
      <c r="G44">
        <f t="shared" si="7"/>
        <v>-3.6329999995359685E-2</v>
      </c>
      <c r="J44">
        <f>+G44</f>
        <v>-3.6329999995359685E-2</v>
      </c>
      <c r="O44">
        <f t="shared" ca="1" si="8"/>
        <v>-1.4716686393141318E-2</v>
      </c>
      <c r="Q44" s="2">
        <f t="shared" si="9"/>
        <v>42072.979740000002</v>
      </c>
    </row>
    <row r="45" spans="1:17">
      <c r="A45" s="60" t="s">
        <v>64</v>
      </c>
      <c r="B45" s="61" t="s">
        <v>47</v>
      </c>
      <c r="C45" s="62">
        <v>57798.540620000102</v>
      </c>
      <c r="D45" s="62">
        <v>1.1999999999999999E-3</v>
      </c>
      <c r="E45">
        <f t="shared" si="5"/>
        <v>15103.86333075535</v>
      </c>
      <c r="F45">
        <f t="shared" si="6"/>
        <v>15104</v>
      </c>
      <c r="G45">
        <f t="shared" si="7"/>
        <v>-4.5939999894471839E-2</v>
      </c>
      <c r="J45">
        <f>+G45</f>
        <v>-4.5939999894471839E-2</v>
      </c>
      <c r="O45">
        <f t="shared" ca="1" si="8"/>
        <v>-2.4544172114573111E-2</v>
      </c>
      <c r="Q45" s="2">
        <f t="shared" si="9"/>
        <v>42780.040620000102</v>
      </c>
    </row>
    <row r="46" spans="1:17">
      <c r="A46" s="60" t="s">
        <v>64</v>
      </c>
      <c r="B46" s="61" t="s">
        <v>47</v>
      </c>
      <c r="C46" s="62">
        <v>57798.541699999943</v>
      </c>
      <c r="D46" s="62">
        <v>1E-3</v>
      </c>
      <c r="E46">
        <f t="shared" si="5"/>
        <v>15103.866543701866</v>
      </c>
      <c r="F46">
        <f t="shared" si="6"/>
        <v>15104</v>
      </c>
      <c r="G46">
        <f t="shared" si="7"/>
        <v>-4.4860000052722171E-2</v>
      </c>
      <c r="J46">
        <f>+G46</f>
        <v>-4.4860000052722171E-2</v>
      </c>
      <c r="O46">
        <f t="shared" ca="1" si="8"/>
        <v>-2.4544172114573111E-2</v>
      </c>
      <c r="Q46" s="2">
        <f t="shared" si="9"/>
        <v>42780.041699999943</v>
      </c>
    </row>
    <row r="47" spans="1:17">
      <c r="A47" s="63" t="s">
        <v>65</v>
      </c>
      <c r="B47" s="64" t="s">
        <v>47</v>
      </c>
      <c r="C47" s="65">
        <v>59688.375800000002</v>
      </c>
      <c r="D47" s="66">
        <v>3.0000000000000001E-3</v>
      </c>
      <c r="E47">
        <f t="shared" ref="E47" si="10">+(C47-C$7)/C$8</f>
        <v>20726.03022550129</v>
      </c>
      <c r="F47">
        <f t="shared" ref="F47" si="11">ROUND(2*E47,0)/2</f>
        <v>20726</v>
      </c>
      <c r="G47">
        <f t="shared" ref="G47" si="12">+C47-(C$7+F47*C$8)</f>
        <v>1.0160000005271286E-2</v>
      </c>
      <c r="J47">
        <f>+G47</f>
        <v>1.0160000005271286E-2</v>
      </c>
      <c r="O47">
        <f t="shared" ref="O47" ca="1" si="13">+C$11+C$12*$F47</f>
        <v>-5.0809978972614266E-2</v>
      </c>
      <c r="Q47" s="2">
        <f t="shared" ref="Q47" si="14">+C47-15018.5</f>
        <v>44669.875800000002</v>
      </c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45:D4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40"/>
  <sheetViews>
    <sheetView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5703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>
      <c r="A1" s="1" t="s">
        <v>37</v>
      </c>
      <c r="V1" s="4" t="s">
        <v>10</v>
      </c>
      <c r="W1" s="6" t="s">
        <v>22</v>
      </c>
    </row>
    <row r="2" spans="1:23">
      <c r="A2" t="s">
        <v>24</v>
      </c>
      <c r="B2" s="29" t="s">
        <v>38</v>
      </c>
      <c r="C2" s="3"/>
      <c r="D2" s="3"/>
      <c r="V2" s="52">
        <v>-3000</v>
      </c>
      <c r="W2" s="52">
        <f t="shared" ref="W2:W17" si="0">+D$11+D$12*V2+D$13*V2^2</f>
        <v>1.8550000000000004E-2</v>
      </c>
    </row>
    <row r="3" spans="1:23" ht="13.5" thickBot="1">
      <c r="C3" s="26"/>
      <c r="V3" s="52">
        <v>-2000</v>
      </c>
      <c r="W3" s="52">
        <f t="shared" si="0"/>
        <v>1.3550000000000003E-2</v>
      </c>
    </row>
    <row r="4" spans="1:23" ht="14.25" thickTop="1" thickBot="1">
      <c r="A4" s="5" t="s">
        <v>0</v>
      </c>
      <c r="C4" s="8">
        <v>52721.527999999998</v>
      </c>
      <c r="D4" s="9">
        <v>0.33613999999999999</v>
      </c>
      <c r="V4" s="52">
        <v>-1000</v>
      </c>
      <c r="W4" s="52">
        <f t="shared" si="0"/>
        <v>7.3500000000000024E-3</v>
      </c>
    </row>
    <row r="5" spans="1:23" ht="13.5" thickTop="1">
      <c r="A5" s="11" t="s">
        <v>30</v>
      </c>
      <c r="B5" s="12"/>
      <c r="C5" s="13">
        <v>-9.5</v>
      </c>
      <c r="D5" s="12" t="s">
        <v>31</v>
      </c>
      <c r="V5" s="52">
        <v>0</v>
      </c>
      <c r="W5" s="52">
        <f t="shared" si="0"/>
        <v>-5.0000000000000002E-5</v>
      </c>
    </row>
    <row r="6" spans="1:23">
      <c r="A6" s="5" t="s">
        <v>1</v>
      </c>
      <c r="R6">
        <v>54504.421642610658</v>
      </c>
      <c r="S6">
        <v>0.33614133533383428</v>
      </c>
      <c r="V6" s="52">
        <v>1000</v>
      </c>
      <c r="W6" s="52">
        <f t="shared" si="0"/>
        <v>-8.6500000000000014E-3</v>
      </c>
    </row>
    <row r="7" spans="1:23">
      <c r="A7" t="s">
        <v>2</v>
      </c>
      <c r="C7">
        <f>+C4</f>
        <v>52721.527999999998</v>
      </c>
      <c r="E7" s="26" t="s">
        <v>62</v>
      </c>
      <c r="V7" s="52">
        <v>2000</v>
      </c>
      <c r="W7" s="52">
        <f t="shared" si="0"/>
        <v>-1.8450000000000005E-2</v>
      </c>
    </row>
    <row r="8" spans="1:23">
      <c r="A8" t="s">
        <v>3</v>
      </c>
      <c r="C8">
        <f>+D4</f>
        <v>0.33613999999999999</v>
      </c>
      <c r="V8" s="52">
        <v>3000</v>
      </c>
      <c r="W8" s="52">
        <f t="shared" si="0"/>
        <v>-2.9450000000000004E-2</v>
      </c>
    </row>
    <row r="9" spans="1:23">
      <c r="A9" s="27" t="s">
        <v>36</v>
      </c>
      <c r="C9" s="28">
        <v>24</v>
      </c>
      <c r="D9" s="25" t="str">
        <f>"F"&amp;C9</f>
        <v>F24</v>
      </c>
      <c r="E9" s="26" t="str">
        <f>"G"&amp;C9</f>
        <v>G24</v>
      </c>
      <c r="V9" s="52">
        <v>4000</v>
      </c>
      <c r="W9" s="52">
        <f t="shared" si="0"/>
        <v>-4.1650000000000006E-2</v>
      </c>
    </row>
    <row r="10" spans="1:23" ht="13.5" thickBot="1">
      <c r="A10" s="12"/>
      <c r="B10" s="12"/>
      <c r="C10" s="4" t="s">
        <v>20</v>
      </c>
      <c r="D10" s="4" t="s">
        <v>21</v>
      </c>
      <c r="E10" s="12"/>
      <c r="V10" s="52">
        <v>5000</v>
      </c>
      <c r="W10" s="52">
        <f t="shared" si="0"/>
        <v>-5.5050000000000009E-2</v>
      </c>
    </row>
    <row r="11" spans="1:23">
      <c r="A11" s="12" t="s">
        <v>16</v>
      </c>
      <c r="B11" s="12"/>
      <c r="C11" s="24">
        <f ca="1">INTERCEPT(INDIRECT($E$9):G992,INDIRECT($D$9):F992)</f>
        <v>-0.12204642403757569</v>
      </c>
      <c r="D11" s="3">
        <f>+E11*F11</f>
        <v>-5.0000000000000002E-5</v>
      </c>
      <c r="E11" s="40">
        <v>-0.05</v>
      </c>
      <c r="F11">
        <v>1E-3</v>
      </c>
      <c r="V11" s="52">
        <v>6000</v>
      </c>
      <c r="W11" s="52">
        <f t="shared" si="0"/>
        <v>-6.9650000000000017E-2</v>
      </c>
    </row>
    <row r="12" spans="1:23">
      <c r="A12" s="12" t="s">
        <v>17</v>
      </c>
      <c r="B12" s="12"/>
      <c r="C12" s="24">
        <f ca="1">SLOPE(INDIRECT($E$9):G992,INDIRECT($D$9):F992)</f>
        <v>-4.6719684912915602E-6</v>
      </c>
      <c r="D12" s="3">
        <f>+E12*F12</f>
        <v>-8.0000000000000013E-6</v>
      </c>
      <c r="E12" s="41">
        <v>-0.08</v>
      </c>
      <c r="F12" s="42">
        <v>1E-4</v>
      </c>
      <c r="V12" s="52">
        <v>7000</v>
      </c>
      <c r="W12" s="52">
        <f t="shared" si="0"/>
        <v>-8.5450000000000012E-2</v>
      </c>
    </row>
    <row r="13" spans="1:23" ht="13.5" thickBot="1">
      <c r="A13" s="12" t="s">
        <v>19</v>
      </c>
      <c r="B13" s="12"/>
      <c r="C13" s="3" t="s">
        <v>14</v>
      </c>
      <c r="D13" s="3">
        <f>+E13*F13</f>
        <v>-6E-10</v>
      </c>
      <c r="E13" s="43">
        <v>-0.06</v>
      </c>
      <c r="F13" s="42">
        <v>1E-8</v>
      </c>
      <c r="V13" s="52">
        <v>8000</v>
      </c>
      <c r="W13" s="52">
        <f t="shared" si="0"/>
        <v>-0.10245000000000001</v>
      </c>
    </row>
    <row r="14" spans="1:23">
      <c r="A14" s="12"/>
      <c r="B14" s="12"/>
      <c r="C14" s="12"/>
      <c r="E14">
        <f>SUM(T21:T950)</f>
        <v>8.0397062796083649E-2</v>
      </c>
      <c r="V14" s="52">
        <v>9000</v>
      </c>
      <c r="W14" s="52">
        <f t="shared" si="0"/>
        <v>-0.12065000000000001</v>
      </c>
    </row>
    <row r="15" spans="1:23">
      <c r="A15" s="14" t="s">
        <v>18</v>
      </c>
      <c r="B15" s="12"/>
      <c r="C15" s="15">
        <f ca="1">(C7+C11)+(C8+C12)*INT(MAX(F21:F3533))</f>
        <v>59688.146762357006</v>
      </c>
      <c r="D15" s="26">
        <f>+C7+INT(MAX(F21:F1588))*C8+D11+D12*INT(MAX(F21:F4023))+D13*INT(MAX(F21:F4050)^2)</f>
        <v>59687.942029318794</v>
      </c>
      <c r="E15" s="16" t="s">
        <v>51</v>
      </c>
      <c r="F15" s="13">
        <v>1</v>
      </c>
      <c r="V15" s="52">
        <v>10000</v>
      </c>
      <c r="W15" s="52">
        <f t="shared" si="0"/>
        <v>-0.14005000000000001</v>
      </c>
    </row>
    <row r="16" spans="1:23">
      <c r="A16" s="18" t="s">
        <v>4</v>
      </c>
      <c r="B16" s="12"/>
      <c r="C16" s="19">
        <f ca="1">+C8+C12</f>
        <v>0.3361353280315087</v>
      </c>
      <c r="D16" s="26">
        <f>+C8+D12+2*D13*MAX(F21:F896)</f>
        <v>0.33610712819999999</v>
      </c>
      <c r="E16" s="16" t="s">
        <v>32</v>
      </c>
      <c r="F16" s="17">
        <f ca="1">NOW()+15018.5+$C$5/24</f>
        <v>60357.779880787035</v>
      </c>
      <c r="V16" s="52">
        <v>11000</v>
      </c>
      <c r="W16" s="52">
        <f t="shared" si="0"/>
        <v>-0.16065000000000002</v>
      </c>
    </row>
    <row r="17" spans="1:23" ht="13.5" thickBot="1">
      <c r="A17" s="16" t="s">
        <v>29</v>
      </c>
      <c r="B17" s="12"/>
      <c r="C17" s="12">
        <f>COUNT(C21:C2191)</f>
        <v>27</v>
      </c>
      <c r="E17" s="16" t="s">
        <v>52</v>
      </c>
      <c r="F17" s="17">
        <f ca="1">ROUND(2*(F16-$C$7)/$C$8,0)/2+F15</f>
        <v>22718.5</v>
      </c>
      <c r="V17" s="52">
        <v>12000</v>
      </c>
      <c r="W17" s="52">
        <f t="shared" si="0"/>
        <v>-0.18245</v>
      </c>
    </row>
    <row r="18" spans="1:23" ht="14.25" thickTop="1" thickBot="1">
      <c r="A18" s="5" t="s">
        <v>53</v>
      </c>
      <c r="C18" s="44">
        <f ca="1">+C15</f>
        <v>59688.146762357006</v>
      </c>
      <c r="D18" s="45">
        <f ca="1">C16</f>
        <v>0.3361353280315087</v>
      </c>
      <c r="E18" s="16" t="s">
        <v>33</v>
      </c>
      <c r="F18" s="26">
        <f ca="1">ROUND(2*(F16-$C$15)/$C$16,0)/2+F15</f>
        <v>1993</v>
      </c>
    </row>
    <row r="19" spans="1:23" ht="13.5" thickBot="1">
      <c r="A19" s="5" t="s">
        <v>54</v>
      </c>
      <c r="C19" s="46">
        <f>+D15</f>
        <v>59687.942029318794</v>
      </c>
      <c r="D19" s="47">
        <f>+D16</f>
        <v>0.33610712819999999</v>
      </c>
      <c r="E19" s="16" t="s">
        <v>34</v>
      </c>
      <c r="F19" s="20">
        <f ca="1">+$C$15+$C$16*F18-15018.5-$C$5/24</f>
        <v>45339.960304457141</v>
      </c>
    </row>
    <row r="20" spans="1:23" ht="1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59</v>
      </c>
      <c r="I20" s="7" t="s">
        <v>41</v>
      </c>
      <c r="J20" s="7" t="s">
        <v>60</v>
      </c>
      <c r="K20" s="7" t="s">
        <v>61</v>
      </c>
      <c r="L20" s="7" t="s">
        <v>26</v>
      </c>
      <c r="M20" s="7" t="s">
        <v>27</v>
      </c>
      <c r="N20" s="7" t="s">
        <v>28</v>
      </c>
      <c r="O20" s="7" t="s">
        <v>23</v>
      </c>
      <c r="P20" s="48" t="s">
        <v>22</v>
      </c>
      <c r="Q20" s="4" t="s">
        <v>15</v>
      </c>
      <c r="R20" s="7" t="s">
        <v>55</v>
      </c>
      <c r="S20" s="6" t="s">
        <v>56</v>
      </c>
      <c r="T20" s="7" t="s">
        <v>57</v>
      </c>
      <c r="U20" s="49" t="s">
        <v>58</v>
      </c>
    </row>
    <row r="21" spans="1:23">
      <c r="A21" s="31" t="s">
        <v>39</v>
      </c>
      <c r="B21" s="32" t="s">
        <v>40</v>
      </c>
      <c r="C21" s="31">
        <v>52049.413399999998</v>
      </c>
      <c r="D21" s="31" t="s">
        <v>41</v>
      </c>
      <c r="E21">
        <f t="shared" ref="E21:E36" si="1">+(C21-C$7)/C$8</f>
        <v>-1999.5079431189408</v>
      </c>
      <c r="F21">
        <f>ROUND(2*E21,0)/2</f>
        <v>-1999.5</v>
      </c>
      <c r="G21">
        <f t="shared" ref="G21:G36" si="2">+C21-(C$7+F21*C$8)</f>
        <v>-2.670000001671724E-3</v>
      </c>
      <c r="I21">
        <f>+G21</f>
        <v>-2.670000001671724E-3</v>
      </c>
      <c r="P21" s="50">
        <f t="shared" ref="P21:P36" si="3">+D$11+D$12*F21+D$13*F21^2</f>
        <v>1.3547199850000002E-2</v>
      </c>
      <c r="Q21" s="51">
        <f t="shared" ref="Q21:Q36" si="4">+C21-15018.5</f>
        <v>37030.913399999998</v>
      </c>
      <c r="R21" s="52">
        <f t="shared" ref="R21:R36" si="5">+(P21-G21)^2</f>
        <v>2.629975710290615E-4</v>
      </c>
      <c r="S21" s="52">
        <v>1</v>
      </c>
      <c r="T21" s="52">
        <f>+S21*R21</f>
        <v>2.629975710290615E-4</v>
      </c>
      <c r="U21" s="53"/>
    </row>
    <row r="22" spans="1:23">
      <c r="A22" s="33" t="s">
        <v>12</v>
      </c>
      <c r="B22" s="33"/>
      <c r="C22" s="31">
        <v>52721.527999999998</v>
      </c>
      <c r="D22" s="31" t="s">
        <v>14</v>
      </c>
      <c r="E22">
        <f t="shared" si="1"/>
        <v>0</v>
      </c>
      <c r="F22">
        <f>ROUND(2*E22,0)/2</f>
        <v>0</v>
      </c>
      <c r="G22">
        <f t="shared" si="2"/>
        <v>0</v>
      </c>
      <c r="I22">
        <f>G22</f>
        <v>0</v>
      </c>
      <c r="P22" s="50">
        <f t="shared" si="3"/>
        <v>-5.0000000000000002E-5</v>
      </c>
      <c r="Q22" s="2">
        <f t="shared" si="4"/>
        <v>37703.027999999998</v>
      </c>
      <c r="R22" s="52">
        <f t="shared" si="5"/>
        <v>2.5000000000000001E-9</v>
      </c>
      <c r="S22" s="52">
        <v>0.1</v>
      </c>
      <c r="T22" s="52">
        <f t="shared" ref="T22:T36" si="6">+S22*R22</f>
        <v>2.5000000000000002E-10</v>
      </c>
    </row>
    <row r="23" spans="1:23">
      <c r="A23" s="31" t="s">
        <v>42</v>
      </c>
      <c r="B23" s="32" t="s">
        <v>40</v>
      </c>
      <c r="C23" s="31">
        <v>54504.51038</v>
      </c>
      <c r="D23" s="31">
        <v>4.0000000000000002E-4</v>
      </c>
      <c r="E23">
        <f t="shared" si="1"/>
        <v>5304.2850597965171</v>
      </c>
      <c r="F23">
        <f>ROUND(2*E23,0)/2</f>
        <v>5304.5</v>
      </c>
      <c r="G23">
        <f t="shared" si="2"/>
        <v>-7.2249999997438863E-2</v>
      </c>
      <c r="K23">
        <f t="shared" ref="K23:K36" si="7">+G23</f>
        <v>-7.2249999997438863E-2</v>
      </c>
      <c r="P23" s="50">
        <f t="shared" si="3"/>
        <v>-5.936863215000001E-2</v>
      </c>
      <c r="Q23" s="2">
        <f t="shared" si="4"/>
        <v>39486.01038</v>
      </c>
      <c r="R23" s="52">
        <f t="shared" si="5"/>
        <v>1.6592963762103146E-4</v>
      </c>
      <c r="S23" s="52">
        <v>1</v>
      </c>
      <c r="T23" s="52">
        <f t="shared" si="6"/>
        <v>1.6592963762103146E-4</v>
      </c>
    </row>
    <row r="24" spans="1:23">
      <c r="A24" s="54" t="s">
        <v>46</v>
      </c>
      <c r="B24" s="55" t="s">
        <v>40</v>
      </c>
      <c r="C24" s="56">
        <v>55642.43881</v>
      </c>
      <c r="D24" s="56">
        <v>6.9999999999999999E-4</v>
      </c>
      <c r="E24">
        <f t="shared" si="1"/>
        <v>8689.5662819063527</v>
      </c>
      <c r="F24">
        <f t="shared" ref="F24:F44" si="8">ROUND(2*E24,0)/2+0.5</f>
        <v>8690</v>
      </c>
      <c r="G24">
        <f t="shared" si="2"/>
        <v>-0.14579000000230735</v>
      </c>
      <c r="K24">
        <f t="shared" si="7"/>
        <v>-0.14579000000230735</v>
      </c>
      <c r="O24">
        <f t="shared" ref="O24:O36" ca="1" si="9">+C$11+C$12*$F24</f>
        <v>-0.16264583022689935</v>
      </c>
      <c r="P24" s="50">
        <f t="shared" si="3"/>
        <v>-0.11487966000000001</v>
      </c>
      <c r="Q24" s="2">
        <f t="shared" si="4"/>
        <v>40623.93881</v>
      </c>
      <c r="R24" s="52">
        <f t="shared" si="5"/>
        <v>9.5544911905824149E-4</v>
      </c>
      <c r="S24" s="52">
        <v>1</v>
      </c>
      <c r="T24" s="52">
        <f t="shared" si="6"/>
        <v>9.5544911905824149E-4</v>
      </c>
    </row>
    <row r="25" spans="1:23">
      <c r="A25" s="54" t="s">
        <v>46</v>
      </c>
      <c r="B25" s="55" t="s">
        <v>40</v>
      </c>
      <c r="C25" s="56">
        <v>55642.43993</v>
      </c>
      <c r="D25" s="56">
        <v>5.9999999999999995E-4</v>
      </c>
      <c r="E25">
        <f t="shared" si="1"/>
        <v>8689.5696138513777</v>
      </c>
      <c r="F25">
        <f t="shared" si="8"/>
        <v>8690</v>
      </c>
      <c r="G25">
        <f t="shared" si="2"/>
        <v>-0.1446700000014971</v>
      </c>
      <c r="K25">
        <f t="shared" si="7"/>
        <v>-0.1446700000014971</v>
      </c>
      <c r="O25">
        <f t="shared" ca="1" si="9"/>
        <v>-0.16264583022689935</v>
      </c>
      <c r="P25" s="50">
        <f t="shared" si="3"/>
        <v>-0.11487966000000001</v>
      </c>
      <c r="Q25" s="2">
        <f t="shared" si="4"/>
        <v>40623.93993</v>
      </c>
      <c r="R25" s="52">
        <f t="shared" si="5"/>
        <v>8.8746435740479784E-4</v>
      </c>
      <c r="S25" s="52">
        <v>1</v>
      </c>
      <c r="T25" s="52">
        <f t="shared" si="6"/>
        <v>8.8746435740479784E-4</v>
      </c>
    </row>
    <row r="26" spans="1:23">
      <c r="A26" s="54" t="s">
        <v>46</v>
      </c>
      <c r="B26" s="55" t="s">
        <v>40</v>
      </c>
      <c r="C26" s="56">
        <v>55992.351649999997</v>
      </c>
      <c r="D26" s="56">
        <v>8.9999999999999998E-4</v>
      </c>
      <c r="E26">
        <f t="shared" si="1"/>
        <v>9730.5398048432162</v>
      </c>
      <c r="F26">
        <f t="shared" si="8"/>
        <v>9731</v>
      </c>
      <c r="G26">
        <f t="shared" si="2"/>
        <v>-0.15469000000302913</v>
      </c>
      <c r="K26">
        <f t="shared" si="7"/>
        <v>-0.15469000000302913</v>
      </c>
      <c r="O26">
        <f t="shared" ca="1" si="9"/>
        <v>-0.16750934942633386</v>
      </c>
      <c r="P26" s="50">
        <f t="shared" si="3"/>
        <v>-0.13471341660000002</v>
      </c>
      <c r="Q26" s="2">
        <f t="shared" si="4"/>
        <v>40973.851649999997</v>
      </c>
      <c r="R26" s="52">
        <f t="shared" si="5"/>
        <v>3.9906388445817777E-4</v>
      </c>
      <c r="S26" s="52">
        <v>1</v>
      </c>
      <c r="T26" s="52">
        <f t="shared" si="6"/>
        <v>3.9906388445817777E-4</v>
      </c>
    </row>
    <row r="27" spans="1:23">
      <c r="A27" s="54" t="s">
        <v>46</v>
      </c>
      <c r="B27" s="55" t="s">
        <v>40</v>
      </c>
      <c r="C27" s="56">
        <v>55992.35183</v>
      </c>
      <c r="D27" s="56">
        <v>5.0000000000000001E-4</v>
      </c>
      <c r="E27">
        <f t="shared" si="1"/>
        <v>9730.540340334388</v>
      </c>
      <c r="F27">
        <f t="shared" si="8"/>
        <v>9731</v>
      </c>
      <c r="G27">
        <f t="shared" si="2"/>
        <v>-0.15451000000030035</v>
      </c>
      <c r="K27">
        <f t="shared" si="7"/>
        <v>-0.15451000000030035</v>
      </c>
      <c r="O27">
        <f t="shared" ca="1" si="9"/>
        <v>-0.16750934942633386</v>
      </c>
      <c r="P27" s="50">
        <f t="shared" si="3"/>
        <v>-0.13471341660000002</v>
      </c>
      <c r="Q27" s="2">
        <f t="shared" si="4"/>
        <v>40973.85183</v>
      </c>
      <c r="R27" s="52">
        <f t="shared" si="5"/>
        <v>3.9190471432504648E-4</v>
      </c>
      <c r="S27" s="52">
        <v>1</v>
      </c>
      <c r="T27" s="52">
        <f t="shared" si="6"/>
        <v>3.9190471432504648E-4</v>
      </c>
    </row>
    <row r="28" spans="1:23">
      <c r="A28" s="54" t="s">
        <v>46</v>
      </c>
      <c r="B28" s="55" t="s">
        <v>47</v>
      </c>
      <c r="C28" s="56">
        <v>56011.335359999997</v>
      </c>
      <c r="D28" s="56">
        <v>6.9999999999999999E-4</v>
      </c>
      <c r="E28">
        <f t="shared" si="1"/>
        <v>9787.0154102457273</v>
      </c>
      <c r="F28">
        <f t="shared" si="8"/>
        <v>9787.5</v>
      </c>
      <c r="G28">
        <f t="shared" si="2"/>
        <v>-0.16288999999960652</v>
      </c>
      <c r="K28">
        <f t="shared" si="7"/>
        <v>-0.16288999999960652</v>
      </c>
      <c r="O28">
        <f t="shared" ca="1" si="9"/>
        <v>-0.16777331564609183</v>
      </c>
      <c r="P28" s="50">
        <f t="shared" si="3"/>
        <v>-0.13582709375000002</v>
      </c>
      <c r="Q28" s="2">
        <f t="shared" si="4"/>
        <v>40992.835359999997</v>
      </c>
      <c r="R28" s="52">
        <f t="shared" si="5"/>
        <v>7.3240089467499058E-4</v>
      </c>
      <c r="S28" s="52">
        <v>1</v>
      </c>
      <c r="T28" s="52">
        <f t="shared" si="6"/>
        <v>7.3240089467499058E-4</v>
      </c>
    </row>
    <row r="29" spans="1:23">
      <c r="A29" s="54" t="s">
        <v>46</v>
      </c>
      <c r="B29" s="55" t="s">
        <v>47</v>
      </c>
      <c r="C29" s="56">
        <v>56011.336069999998</v>
      </c>
      <c r="D29" s="56">
        <v>4.0000000000000002E-4</v>
      </c>
      <c r="E29">
        <f t="shared" si="1"/>
        <v>9787.0175224608774</v>
      </c>
      <c r="F29">
        <f t="shared" si="8"/>
        <v>9787.5</v>
      </c>
      <c r="G29">
        <f t="shared" si="2"/>
        <v>-0.16217999999935273</v>
      </c>
      <c r="K29">
        <f t="shared" si="7"/>
        <v>-0.16217999999935273</v>
      </c>
      <c r="O29">
        <f t="shared" ca="1" si="9"/>
        <v>-0.16777331564609183</v>
      </c>
      <c r="P29" s="50">
        <f t="shared" si="3"/>
        <v>-0.13582709375000002</v>
      </c>
      <c r="Q29" s="2">
        <f t="shared" si="4"/>
        <v>40992.836069999998</v>
      </c>
      <c r="R29" s="52">
        <f t="shared" si="5"/>
        <v>6.9447566778717339E-4</v>
      </c>
      <c r="S29" s="52">
        <v>1</v>
      </c>
      <c r="T29" s="52">
        <f t="shared" si="6"/>
        <v>6.9447566778717339E-4</v>
      </c>
    </row>
    <row r="30" spans="1:23">
      <c r="A30" s="54" t="s">
        <v>46</v>
      </c>
      <c r="B30" s="55" t="s">
        <v>40</v>
      </c>
      <c r="C30" s="56">
        <v>56330.498500000002</v>
      </c>
      <c r="D30" s="56">
        <v>6.9999999999999999E-4</v>
      </c>
      <c r="E30">
        <f t="shared" si="1"/>
        <v>10736.510085083606</v>
      </c>
      <c r="F30">
        <f t="shared" si="8"/>
        <v>10737</v>
      </c>
      <c r="G30">
        <f t="shared" si="2"/>
        <v>-0.16467999999440508</v>
      </c>
      <c r="K30">
        <f t="shared" si="7"/>
        <v>-0.16467999999440508</v>
      </c>
      <c r="O30">
        <f t="shared" ca="1" si="9"/>
        <v>-0.17220934972857319</v>
      </c>
      <c r="P30" s="50">
        <f t="shared" si="3"/>
        <v>-0.15511590140000001</v>
      </c>
      <c r="Q30" s="2">
        <f t="shared" si="4"/>
        <v>41311.998500000002</v>
      </c>
      <c r="R30" s="52">
        <f t="shared" si="5"/>
        <v>9.1471981923501106E-5</v>
      </c>
      <c r="S30" s="52">
        <v>1</v>
      </c>
      <c r="T30" s="52">
        <f t="shared" si="6"/>
        <v>9.1471981923501106E-5</v>
      </c>
    </row>
    <row r="31" spans="1:23">
      <c r="A31" s="56" t="s">
        <v>48</v>
      </c>
      <c r="B31" s="55"/>
      <c r="C31" s="56">
        <v>56330.504809999999</v>
      </c>
      <c r="D31" s="56">
        <v>7.1000000000000002E-4</v>
      </c>
      <c r="E31">
        <f t="shared" si="1"/>
        <v>10736.528857023859</v>
      </c>
      <c r="F31">
        <f t="shared" si="8"/>
        <v>10737</v>
      </c>
      <c r="G31">
        <f t="shared" si="2"/>
        <v>-0.158369999997376</v>
      </c>
      <c r="K31">
        <f t="shared" si="7"/>
        <v>-0.158369999997376</v>
      </c>
      <c r="O31">
        <f t="shared" ca="1" si="9"/>
        <v>-0.17220934972857319</v>
      </c>
      <c r="P31" s="50">
        <f t="shared" si="3"/>
        <v>-0.15511590140000001</v>
      </c>
      <c r="Q31" s="2">
        <f t="shared" si="4"/>
        <v>41312.004809999999</v>
      </c>
      <c r="R31" s="52">
        <f t="shared" si="5"/>
        <v>1.0589157681444404E-5</v>
      </c>
      <c r="S31" s="52">
        <v>1</v>
      </c>
      <c r="T31" s="52">
        <f t="shared" si="6"/>
        <v>1.0589157681444404E-5</v>
      </c>
    </row>
    <row r="32" spans="1:23">
      <c r="A32" s="54" t="s">
        <v>46</v>
      </c>
      <c r="B32" s="55" t="s">
        <v>40</v>
      </c>
      <c r="C32" s="56">
        <v>56330.50909</v>
      </c>
      <c r="D32" s="56">
        <v>1.1000000000000001E-3</v>
      </c>
      <c r="E32">
        <f t="shared" si="1"/>
        <v>10736.541589813771</v>
      </c>
      <c r="F32">
        <f t="shared" si="8"/>
        <v>10737</v>
      </c>
      <c r="G32">
        <f t="shared" si="2"/>
        <v>-0.15408999999635853</v>
      </c>
      <c r="K32">
        <f t="shared" si="7"/>
        <v>-0.15408999999635853</v>
      </c>
      <c r="O32">
        <f t="shared" ca="1" si="9"/>
        <v>-0.17220934972857319</v>
      </c>
      <c r="P32" s="50">
        <f t="shared" si="3"/>
        <v>-0.15511590140000001</v>
      </c>
      <c r="Q32" s="2">
        <f t="shared" si="4"/>
        <v>41312.00909</v>
      </c>
      <c r="R32" s="52">
        <f t="shared" si="5"/>
        <v>1.052473689993553E-6</v>
      </c>
      <c r="S32" s="52">
        <v>1</v>
      </c>
      <c r="T32" s="52">
        <f t="shared" si="6"/>
        <v>1.052473689993553E-6</v>
      </c>
    </row>
    <row r="33" spans="1:20">
      <c r="A33" s="56" t="s">
        <v>49</v>
      </c>
      <c r="B33" s="55" t="s">
        <v>40</v>
      </c>
      <c r="C33" s="57">
        <v>56670.6803</v>
      </c>
      <c r="D33" s="58">
        <v>4.0000000000000002E-4</v>
      </c>
      <c r="E33">
        <f t="shared" si="1"/>
        <v>11748.534241685016</v>
      </c>
      <c r="F33">
        <f t="shared" si="8"/>
        <v>11749</v>
      </c>
      <c r="G33">
        <f t="shared" si="2"/>
        <v>-0.15655999999580672</v>
      </c>
      <c r="K33">
        <f t="shared" si="7"/>
        <v>-0.15655999999580672</v>
      </c>
      <c r="O33">
        <f t="shared" ca="1" si="9"/>
        <v>-0.17693738184176022</v>
      </c>
      <c r="P33" s="50">
        <f t="shared" si="3"/>
        <v>-0.1768654006</v>
      </c>
      <c r="Q33" s="2">
        <f t="shared" si="4"/>
        <v>41652.1803</v>
      </c>
      <c r="R33" s="52">
        <f t="shared" si="5"/>
        <v>4.1230929369677282E-4</v>
      </c>
      <c r="S33" s="52">
        <v>1</v>
      </c>
      <c r="T33" s="52">
        <f t="shared" si="6"/>
        <v>4.1230929369677282E-4</v>
      </c>
    </row>
    <row r="34" spans="1:20">
      <c r="A34" s="58" t="s">
        <v>49</v>
      </c>
      <c r="B34" s="59" t="s">
        <v>40</v>
      </c>
      <c r="C34" s="57">
        <v>56670.681299999997</v>
      </c>
      <c r="D34" s="58">
        <v>1E-3</v>
      </c>
      <c r="E34">
        <f t="shared" si="1"/>
        <v>11748.537216635919</v>
      </c>
      <c r="F34">
        <f t="shared" si="8"/>
        <v>11749</v>
      </c>
      <c r="G34">
        <f t="shared" si="2"/>
        <v>-0.15555999999924097</v>
      </c>
      <c r="K34">
        <f t="shared" si="7"/>
        <v>-0.15555999999924097</v>
      </c>
      <c r="O34">
        <f t="shared" ca="1" si="9"/>
        <v>-0.17693738184176022</v>
      </c>
      <c r="P34" s="50">
        <f t="shared" si="3"/>
        <v>-0.1768654006</v>
      </c>
      <c r="Q34" s="2">
        <f t="shared" si="4"/>
        <v>41652.181299999997</v>
      </c>
      <c r="R34" s="52">
        <f t="shared" si="5"/>
        <v>4.5392009475882315E-4</v>
      </c>
      <c r="S34" s="52">
        <v>1</v>
      </c>
      <c r="T34" s="52">
        <f t="shared" si="6"/>
        <v>4.5392009475882315E-4</v>
      </c>
    </row>
    <row r="35" spans="1:20">
      <c r="A35" s="58" t="s">
        <v>49</v>
      </c>
      <c r="B35" s="59" t="s">
        <v>47</v>
      </c>
      <c r="C35" s="57">
        <v>56745.435839999998</v>
      </c>
      <c r="D35" s="58">
        <v>8.0000000000000004E-4</v>
      </c>
      <c r="E35">
        <f t="shared" si="1"/>
        <v>11970.928303682989</v>
      </c>
      <c r="F35">
        <f t="shared" si="8"/>
        <v>11971.5</v>
      </c>
      <c r="G35">
        <f t="shared" si="2"/>
        <v>-0.19217000000207918</v>
      </c>
      <c r="K35">
        <f t="shared" si="7"/>
        <v>-0.19217000000207918</v>
      </c>
      <c r="O35">
        <f t="shared" ca="1" si="9"/>
        <v>-0.1779768948310726</v>
      </c>
      <c r="P35" s="50">
        <f t="shared" si="3"/>
        <v>-0.18181208734999998</v>
      </c>
      <c r="Q35" s="2">
        <f t="shared" si="4"/>
        <v>41726.935839999998</v>
      </c>
      <c r="R35" s="52">
        <f t="shared" si="5"/>
        <v>1.0728635450810222E-4</v>
      </c>
      <c r="S35" s="52">
        <v>1</v>
      </c>
      <c r="T35" s="52">
        <f t="shared" si="6"/>
        <v>1.0728635450810222E-4</v>
      </c>
    </row>
    <row r="36" spans="1:20">
      <c r="A36" s="58" t="s">
        <v>49</v>
      </c>
      <c r="B36" s="59" t="s">
        <v>47</v>
      </c>
      <c r="C36" s="57">
        <v>56745.438580000002</v>
      </c>
      <c r="D36" s="58">
        <v>5.0000000000000001E-4</v>
      </c>
      <c r="E36">
        <f t="shared" si="1"/>
        <v>11970.936455048502</v>
      </c>
      <c r="F36">
        <f t="shared" si="8"/>
        <v>11971.5</v>
      </c>
      <c r="G36">
        <f t="shared" si="2"/>
        <v>-0.18942999999853782</v>
      </c>
      <c r="K36">
        <f t="shared" si="7"/>
        <v>-0.18942999999853782</v>
      </c>
      <c r="O36">
        <f t="shared" ca="1" si="9"/>
        <v>-0.1779768948310726</v>
      </c>
      <c r="P36" s="50">
        <f t="shared" si="3"/>
        <v>-0.18181208734999998</v>
      </c>
      <c r="Q36" s="2">
        <f t="shared" si="4"/>
        <v>41726.938580000002</v>
      </c>
      <c r="R36" s="52">
        <f t="shared" si="5"/>
        <v>5.8032593120752791E-5</v>
      </c>
      <c r="S36" s="52">
        <v>1</v>
      </c>
      <c r="T36" s="52">
        <f t="shared" si="6"/>
        <v>5.8032593120752791E-5</v>
      </c>
    </row>
    <row r="37" spans="1:20">
      <c r="A37" s="60" t="s">
        <v>63</v>
      </c>
      <c r="B37" s="61" t="s">
        <v>47</v>
      </c>
      <c r="C37" s="62">
        <v>57090.307820000002</v>
      </c>
      <c r="D37" s="62">
        <v>8.0000000000000004E-4</v>
      </c>
      <c r="E37">
        <f t="shared" ref="E37:E44" si="10">+(C37-C$7)/C$8</f>
        <v>12996.905515559003</v>
      </c>
      <c r="F37">
        <f t="shared" si="8"/>
        <v>12997.5</v>
      </c>
      <c r="G37">
        <f t="shared" ref="G37:G44" si="11">+C37-(C$7+F37*C$8)</f>
        <v>-0.1998299999977462</v>
      </c>
      <c r="K37">
        <f t="shared" ref="K37:K44" si="12">+G37</f>
        <v>-0.1998299999977462</v>
      </c>
      <c r="O37">
        <f t="shared" ref="O37:O44" ca="1" si="13">+C$11+C$12*$F37</f>
        <v>-0.18277033450313773</v>
      </c>
      <c r="P37" s="50">
        <f t="shared" ref="P37:P44" si="14">+D$11+D$12*F37+D$13*F37^2</f>
        <v>-0.20539100375000002</v>
      </c>
      <c r="Q37" s="2">
        <f t="shared" ref="Q37:Q44" si="15">+C37-15018.5</f>
        <v>42071.807820000002</v>
      </c>
      <c r="R37" s="52">
        <f t="shared" ref="R37:R44" si="16">+(P37-G37)^2</f>
        <v>3.0924762732581105E-5</v>
      </c>
      <c r="S37" s="52">
        <v>1</v>
      </c>
      <c r="T37" s="52">
        <f t="shared" ref="T37:T44" si="17">+S37*R37</f>
        <v>3.0924762732581105E-5</v>
      </c>
    </row>
    <row r="38" spans="1:20">
      <c r="A38" s="60" t="s">
        <v>63</v>
      </c>
      <c r="B38" s="61" t="s">
        <v>47</v>
      </c>
      <c r="C38" s="62">
        <v>57090.309809999999</v>
      </c>
      <c r="D38" s="62">
        <v>5.9999999999999995E-4</v>
      </c>
      <c r="E38">
        <f t="shared" si="10"/>
        <v>12996.911435711312</v>
      </c>
      <c r="F38">
        <f t="shared" si="8"/>
        <v>12997.5</v>
      </c>
      <c r="G38">
        <f t="shared" si="11"/>
        <v>-0.1978400000007241</v>
      </c>
      <c r="K38">
        <f t="shared" si="12"/>
        <v>-0.1978400000007241</v>
      </c>
      <c r="O38">
        <f t="shared" ca="1" si="13"/>
        <v>-0.18277033450313773</v>
      </c>
      <c r="P38" s="50">
        <f t="shared" si="14"/>
        <v>-0.20539100375000002</v>
      </c>
      <c r="Q38" s="2">
        <f t="shared" si="15"/>
        <v>42071.809809999999</v>
      </c>
      <c r="R38" s="52">
        <f t="shared" si="16"/>
        <v>5.7017657621578998E-5</v>
      </c>
      <c r="S38" s="52">
        <v>1</v>
      </c>
      <c r="T38" s="52">
        <f t="shared" si="17"/>
        <v>5.7017657621578998E-5</v>
      </c>
    </row>
    <row r="39" spans="1:20">
      <c r="A39" s="60" t="s">
        <v>63</v>
      </c>
      <c r="B39" s="61" t="s">
        <v>40</v>
      </c>
      <c r="C39" s="62">
        <v>57090.471969999999</v>
      </c>
      <c r="D39" s="62">
        <v>6.9999999999999999E-4</v>
      </c>
      <c r="E39">
        <f t="shared" si="10"/>
        <v>12997.393853751415</v>
      </c>
      <c r="F39">
        <f t="shared" si="8"/>
        <v>12998</v>
      </c>
      <c r="G39">
        <f t="shared" si="11"/>
        <v>-0.20375000000058208</v>
      </c>
      <c r="K39">
        <f t="shared" si="12"/>
        <v>-0.20375000000058208</v>
      </c>
      <c r="O39">
        <f t="shared" ca="1" si="13"/>
        <v>-0.18277267048738338</v>
      </c>
      <c r="P39" s="50">
        <f t="shared" si="14"/>
        <v>-0.20540280240000003</v>
      </c>
      <c r="Q39" s="2">
        <f t="shared" si="15"/>
        <v>42071.971969999999</v>
      </c>
      <c r="R39" s="52">
        <f t="shared" si="16"/>
        <v>2.7317557715217393E-6</v>
      </c>
      <c r="S39" s="52">
        <v>1</v>
      </c>
      <c r="T39" s="52">
        <f t="shared" si="17"/>
        <v>2.7317557715217393E-6</v>
      </c>
    </row>
    <row r="40" spans="1:20">
      <c r="A40" s="60" t="s">
        <v>63</v>
      </c>
      <c r="B40" s="61" t="s">
        <v>40</v>
      </c>
      <c r="C40" s="62">
        <v>57090.474520000003</v>
      </c>
      <c r="D40" s="62">
        <v>1.1999999999999999E-3</v>
      </c>
      <c r="E40">
        <f t="shared" si="10"/>
        <v>12997.401439876257</v>
      </c>
      <c r="F40">
        <f t="shared" si="8"/>
        <v>12998</v>
      </c>
      <c r="G40">
        <f t="shared" si="11"/>
        <v>-0.2011999999958789</v>
      </c>
      <c r="K40">
        <f t="shared" si="12"/>
        <v>-0.2011999999958789</v>
      </c>
      <c r="O40">
        <f t="shared" ca="1" si="13"/>
        <v>-0.18277267048738338</v>
      </c>
      <c r="P40" s="50">
        <f t="shared" si="14"/>
        <v>-0.20540280240000003</v>
      </c>
      <c r="Q40" s="2">
        <f t="shared" si="15"/>
        <v>42071.974520000003</v>
      </c>
      <c r="R40" s="52">
        <f t="shared" si="16"/>
        <v>1.7663548048086358E-5</v>
      </c>
      <c r="S40" s="52">
        <v>1</v>
      </c>
      <c r="T40" s="52">
        <f t="shared" si="17"/>
        <v>1.7663548048086358E-5</v>
      </c>
    </row>
    <row r="41" spans="1:20">
      <c r="A41" s="60" t="s">
        <v>63</v>
      </c>
      <c r="B41" s="61" t="s">
        <v>47</v>
      </c>
      <c r="C41" s="62">
        <v>57091.318079999997</v>
      </c>
      <c r="D41" s="62">
        <v>8.0000000000000004E-4</v>
      </c>
      <c r="E41">
        <f t="shared" si="10"/>
        <v>12999.91098946867</v>
      </c>
      <c r="F41">
        <f t="shared" si="8"/>
        <v>13000.5</v>
      </c>
      <c r="G41">
        <f t="shared" si="11"/>
        <v>-0.19799000000057276</v>
      </c>
      <c r="K41">
        <f t="shared" si="12"/>
        <v>-0.19799000000057276</v>
      </c>
      <c r="O41">
        <f t="shared" ca="1" si="13"/>
        <v>-0.18278435040861163</v>
      </c>
      <c r="P41" s="50">
        <f t="shared" si="14"/>
        <v>-0.20546180015000001</v>
      </c>
      <c r="Q41" s="2">
        <f t="shared" si="15"/>
        <v>42072.818079999997</v>
      </c>
      <c r="R41" s="52">
        <f t="shared" si="16"/>
        <v>5.5827797472981063E-5</v>
      </c>
      <c r="S41" s="52">
        <v>1</v>
      </c>
      <c r="T41" s="52">
        <f t="shared" si="17"/>
        <v>5.5827797472981063E-5</v>
      </c>
    </row>
    <row r="42" spans="1:20">
      <c r="A42" s="60" t="s">
        <v>63</v>
      </c>
      <c r="B42" s="61" t="s">
        <v>47</v>
      </c>
      <c r="C42" s="62">
        <v>57091.319589999999</v>
      </c>
      <c r="D42" s="62">
        <v>6.9999999999999999E-4</v>
      </c>
      <c r="E42">
        <f t="shared" si="10"/>
        <v>12999.915481644555</v>
      </c>
      <c r="F42">
        <f t="shared" si="8"/>
        <v>13000.5</v>
      </c>
      <c r="G42">
        <f t="shared" si="11"/>
        <v>-0.19647999999870081</v>
      </c>
      <c r="K42">
        <f t="shared" si="12"/>
        <v>-0.19647999999870081</v>
      </c>
      <c r="O42">
        <f t="shared" ca="1" si="13"/>
        <v>-0.18278435040861163</v>
      </c>
      <c r="P42" s="50">
        <f t="shared" si="14"/>
        <v>-0.20546180015000001</v>
      </c>
      <c r="Q42" s="2">
        <f t="shared" si="15"/>
        <v>42072.819589999999</v>
      </c>
      <c r="R42" s="52">
        <f t="shared" si="16"/>
        <v>8.0672733957878458E-5</v>
      </c>
      <c r="S42" s="52">
        <v>1</v>
      </c>
      <c r="T42" s="52">
        <f t="shared" si="17"/>
        <v>8.0672733957878458E-5</v>
      </c>
    </row>
    <row r="43" spans="1:20">
      <c r="A43" s="60" t="s">
        <v>63</v>
      </c>
      <c r="B43" s="61" t="s">
        <v>40</v>
      </c>
      <c r="C43" s="62">
        <v>57091.477420000003</v>
      </c>
      <c r="D43" s="62">
        <v>6.9999999999999999E-4</v>
      </c>
      <c r="E43">
        <f t="shared" si="10"/>
        <v>13000.385018147213</v>
      </c>
      <c r="F43">
        <f t="shared" si="8"/>
        <v>13001</v>
      </c>
      <c r="G43">
        <f t="shared" si="11"/>
        <v>-0.20671999999467516</v>
      </c>
      <c r="K43">
        <f t="shared" si="12"/>
        <v>-0.20671999999467516</v>
      </c>
      <c r="O43">
        <f t="shared" ca="1" si="13"/>
        <v>-0.18278668639285728</v>
      </c>
      <c r="P43" s="50">
        <f t="shared" si="14"/>
        <v>-0.20547360060000003</v>
      </c>
      <c r="Q43" s="2">
        <f t="shared" si="15"/>
        <v>42072.977420000003</v>
      </c>
      <c r="R43" s="52">
        <f t="shared" si="16"/>
        <v>1.5535114510465432E-6</v>
      </c>
      <c r="S43" s="52">
        <v>1</v>
      </c>
      <c r="T43" s="52">
        <f t="shared" si="17"/>
        <v>1.5535114510465432E-6</v>
      </c>
    </row>
    <row r="44" spans="1:20">
      <c r="A44" s="60" t="s">
        <v>63</v>
      </c>
      <c r="B44" s="61" t="s">
        <v>40</v>
      </c>
      <c r="C44" s="62">
        <v>57091.479740000002</v>
      </c>
      <c r="D44" s="62">
        <v>5.9999999999999995E-4</v>
      </c>
      <c r="E44">
        <f t="shared" si="10"/>
        <v>13000.391920033331</v>
      </c>
      <c r="F44">
        <f t="shared" si="8"/>
        <v>13001</v>
      </c>
      <c r="G44">
        <f t="shared" si="11"/>
        <v>-0.20439999999507563</v>
      </c>
      <c r="K44">
        <f t="shared" si="12"/>
        <v>-0.20439999999507563</v>
      </c>
      <c r="O44">
        <f t="shared" ca="1" si="13"/>
        <v>-0.18278668639285728</v>
      </c>
      <c r="P44" s="50">
        <f t="shared" si="14"/>
        <v>-0.20547360060000003</v>
      </c>
      <c r="Q44" s="2">
        <f t="shared" si="15"/>
        <v>42072.979740000002</v>
      </c>
      <c r="R44" s="52">
        <f t="shared" si="16"/>
        <v>1.1526182588940294E-6</v>
      </c>
      <c r="S44" s="52">
        <v>1</v>
      </c>
      <c r="T44" s="52">
        <f t="shared" si="17"/>
        <v>1.1526182588940294E-6</v>
      </c>
    </row>
    <row r="45" spans="1:20">
      <c r="A45" s="60" t="s">
        <v>64</v>
      </c>
      <c r="B45" s="61" t="s">
        <v>47</v>
      </c>
      <c r="C45" s="62">
        <v>57798.540620000102</v>
      </c>
      <c r="D45" s="62">
        <v>1.1999999999999999E-3</v>
      </c>
      <c r="E45">
        <f>+(C45-C$7)/C$8</f>
        <v>15103.86333075535</v>
      </c>
      <c r="F45">
        <f>ROUND(2*E45,0)/2+0.5</f>
        <v>15104.5</v>
      </c>
      <c r="G45">
        <f>+C45-(C$7+F45*C$8)</f>
        <v>-0.21400999989418779</v>
      </c>
      <c r="K45">
        <f>+G45</f>
        <v>-0.21400999989418779</v>
      </c>
      <c r="O45">
        <f ca="1">+C$11+C$12*$F45</f>
        <v>-0.19261417211428905</v>
      </c>
      <c r="P45" s="50">
        <f>+D$11+D$12*F45+D$13*F45^2</f>
        <v>-0.25777355215000003</v>
      </c>
      <c r="Q45" s="2">
        <f>+C45-15018.5</f>
        <v>42780.040620000102</v>
      </c>
      <c r="R45" s="52">
        <f>+(P45-G45)^2</f>
        <v>1.9152485060472089E-3</v>
      </c>
      <c r="S45" s="52">
        <v>1</v>
      </c>
      <c r="T45" s="52">
        <f>+S45*R45</f>
        <v>1.9152485060472089E-3</v>
      </c>
    </row>
    <row r="46" spans="1:20">
      <c r="A46" s="60" t="s">
        <v>64</v>
      </c>
      <c r="B46" s="61" t="s">
        <v>47</v>
      </c>
      <c r="C46" s="62">
        <v>57798.541699999943</v>
      </c>
      <c r="D46" s="62">
        <v>1E-3</v>
      </c>
      <c r="E46">
        <f>+(C46-C$7)/C$8</f>
        <v>15103.866543701866</v>
      </c>
      <c r="F46">
        <f>ROUND(2*E46,0)/2+0.5</f>
        <v>15104.5</v>
      </c>
      <c r="G46">
        <f>+C46-(C$7+F46*C$8)</f>
        <v>-0.21293000005243812</v>
      </c>
      <c r="K46">
        <f>+G46</f>
        <v>-0.21293000005243812</v>
      </c>
      <c r="O46">
        <f ca="1">+C$11+C$12*$F46</f>
        <v>-0.19261417211428905</v>
      </c>
      <c r="P46" s="50">
        <f>+D$11+D$12*F46+D$13*F46^2</f>
        <v>-0.25777355215000003</v>
      </c>
      <c r="Q46" s="2">
        <f>+C46-15018.5</f>
        <v>42780.041699999943</v>
      </c>
      <c r="R46" s="52">
        <f>+(P46-G46)^2</f>
        <v>2.0109441647267494E-3</v>
      </c>
      <c r="S46" s="52">
        <v>1</v>
      </c>
      <c r="T46" s="52">
        <f>+S46*R46</f>
        <v>2.0109441647267494E-3</v>
      </c>
    </row>
    <row r="47" spans="1:20">
      <c r="A47" s="63" t="s">
        <v>65</v>
      </c>
      <c r="B47" s="64" t="s">
        <v>47</v>
      </c>
      <c r="C47" s="65">
        <v>59688.375800000002</v>
      </c>
      <c r="D47" s="66">
        <v>3.0000000000000001E-3</v>
      </c>
      <c r="E47">
        <f>+(C47-C$7)/C$8</f>
        <v>20726.03022550129</v>
      </c>
      <c r="F47">
        <f>ROUND(2*E47,0)/2+0.5</f>
        <v>20726.5</v>
      </c>
      <c r="G47">
        <f>+C47-(C$7+F47*C$8)</f>
        <v>-0.15790999999444466</v>
      </c>
      <c r="K47">
        <f>+G47</f>
        <v>-0.15790999999444466</v>
      </c>
      <c r="O47">
        <f ca="1">+C$11+C$12*$F47</f>
        <v>-0.21887997897233022</v>
      </c>
      <c r="P47" s="50">
        <f>+D$11+D$12*F47+D$13*F47^2</f>
        <v>-0.42361468135000002</v>
      </c>
      <c r="Q47" s="2">
        <f>+C47-15018.5</f>
        <v>44669.875800000002</v>
      </c>
      <c r="R47" s="52">
        <f>+(P47-G47)^2</f>
        <v>7.0598977694257214E-2</v>
      </c>
      <c r="S47" s="52">
        <v>1</v>
      </c>
      <c r="T47" s="52">
        <f>+S47*R47</f>
        <v>7.0598977694257214E-2</v>
      </c>
    </row>
    <row r="48" spans="1:20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45:D4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Axtive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2024-02-17T05:43:01Z</dcterms:modified>
</cp:coreProperties>
</file>