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ED9AB1-5618-4921-A78F-1DA7E232D0D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C4" i="1"/>
  <c r="D4" i="1"/>
  <c r="G11" i="1"/>
  <c r="F11" i="1"/>
  <c r="Q23" i="1"/>
  <c r="E14" i="1"/>
  <c r="C17" i="1"/>
  <c r="Q24" i="1"/>
  <c r="B2" i="1"/>
  <c r="Q22" i="1"/>
  <c r="E23" i="1"/>
  <c r="F23" i="1" s="1"/>
  <c r="G23" i="1" s="1"/>
  <c r="I23" i="1" s="1"/>
  <c r="E24" i="1"/>
  <c r="F24" i="1"/>
  <c r="G24" i="1" s="1"/>
  <c r="I24" i="1" s="1"/>
  <c r="E22" i="1"/>
  <c r="F22" i="1" s="1"/>
  <c r="G22" i="1" s="1"/>
  <c r="H22" i="1" s="1"/>
  <c r="C12" i="1"/>
  <c r="C16" i="1" l="1"/>
  <c r="D18" i="1" s="1"/>
  <c r="E15" i="1"/>
  <c r="C11" i="1"/>
  <c r="O21" i="1" l="1"/>
  <c r="O22" i="1"/>
  <c r="O23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<sst xmlns="http://schemas.openxmlformats.org/spreadsheetml/2006/main" count="52" uniqueCount="48">
  <si>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</si>
  <si>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</si>
  <si>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</si>
  <si>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</si>
  <si>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</si>
  <si>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</si>
  <si>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</si>
  <si>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</si>
  <si>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</si>
  <si>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</si>
  <si>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</si>
  <si>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</si>
  <si>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</si>
  <si>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</si>
  <si>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</si>
  <si>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</si>
  <si>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</si>
  <si>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</si>
  <si>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</si>
  <si>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</si>
  <si>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</si>
  <si>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</si>
  <si>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</si>
  <si>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</si>
  <si>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</si>
  <si>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</si>
  <si>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</si>
  <si>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</si>
  <si>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</si>
  <si>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</si>
  <si>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</si>
  <si>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</si>
  <si>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</si>
  <si>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</si>
  <si>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</si>
  <si>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</si>
  <si>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</si>
  <si>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</si>
  <si>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</si>
  <si>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</si>
  <si>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GI Lib / GSC 6173-0130               </t>
  </si>
  <si>
    <t xml:space="preserve">EA        </t>
  </si>
  <si>
    <t>IBVS 5806</t>
  </si>
  <si>
    <t>Add cycle</t>
  </si>
  <si>
    <t>Old Cycle</t>
  </si>
  <si>
    <t>IBVS 5690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</si>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</sst>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Lib - O-C Diagr.</a:t>
            </a:r>
          </a:p>
        </c:rich>
      </c:tx>
      <c:layout>
        <c:manualLayout>
          <c:xMode val="edge"/>
          <c:yMode val="edge"/>
          <c:x val="0.3954887218045112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1">
                  <c:v>1.799999998183921E-3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61-47D3-ADAC-F68C93F423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  <c:pt idx="2">
                  <c:v>1.7000000007101335E-3</c:v>
                </c:pt>
                <c:pt idx="3">
                  <c:v>-7.9999994341051206E-4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1-47D3-ADAC-F68C93F4239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61-47D3-ADAC-F68C93F4239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61-47D3-ADAC-F68C93F4239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61-47D3-ADAC-F68C93F423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61-47D3-ADAC-F68C93F423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2">
                    <c:v>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61-47D3-ADAC-F68C93F423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280</c:v>
                </c:pt>
                <c:pt idx="2">
                  <c:v>764</c:v>
                </c:pt>
                <c:pt idx="3">
                  <c:v>1090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1.0570368041034593E-3</c:v>
                </c:pt>
                <c:pt idx="1">
                  <c:v>8.5653014756152744E-4</c:v>
                </c:pt>
                <c:pt idx="2">
                  <c:v>5.0994006982475954E-4</c:v>
                </c:pt>
                <c:pt idx="3">
                  <c:v>2.76493033993796E-4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61-47D3-ADAC-F68C93F4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72824"/>
        <c:axId val="1"/>
      </c:scatterChart>
      <c:valAx>
        <c:axId val="54037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372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76691729323307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16</xdr:col>
      <xdr:colOff>552450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5C4020-12E6-8869-1A39-77E3E45ED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40" sqref="K39:K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2">
        <v>52500.378799999999</v>
      </c>
      <c r="G1" s="2">
        <v>2.0895473999999998</v>
      </c>
      <c r="H1" s="2" t="s">
        <v>41</v>
      </c>
    </row>
    <row r="2" spans="1:8" s="6" customFormat="1" ht="12.95" customHeight="1" x14ac:dyDescent="0.2">
      <c r="A2" s="6" t="s">
        <v>23</v>
      </c>
      <c r="B2" s="6" t="str">
        <f>H1</f>
        <v xml:space="preserve">EA        </v>
      </c>
      <c r="C2" s="7"/>
      <c r="D2" s="7"/>
    </row>
    <row r="3" spans="1:8" s="6" customFormat="1" ht="12.95" customHeight="1" thickBot="1" x14ac:dyDescent="0.25"/>
    <row r="4" spans="1:8" s="6" customFormat="1" ht="12.95" customHeight="1" thickTop="1" thickBot="1" x14ac:dyDescent="0.25">
      <c r="A4" s="8" t="s">
        <v>39</v>
      </c>
      <c r="C4" s="9">
        <f>F1</f>
        <v>52500.378799999999</v>
      </c>
      <c r="D4" s="10">
        <f>G1</f>
        <v>2.0895473999999998</v>
      </c>
    </row>
    <row r="5" spans="1:8" s="6" customFormat="1" ht="12.95" customHeight="1" x14ac:dyDescent="0.2">
      <c r="C5" s="11" t="s">
        <v>37</v>
      </c>
    </row>
    <row r="6" spans="1:8" s="6" customFormat="1" ht="12.95" customHeight="1" x14ac:dyDescent="0.2">
      <c r="A6" s="8" t="s">
        <v>0</v>
      </c>
    </row>
    <row r="7" spans="1:8" s="6" customFormat="1" ht="12.95" customHeight="1" x14ac:dyDescent="0.2">
      <c r="A7" s="6" t="s">
        <v>1</v>
      </c>
      <c r="C7" s="6">
        <v>51915.303</v>
      </c>
      <c r="D7" s="37" t="s">
        <v>47</v>
      </c>
    </row>
    <row r="8" spans="1:8" s="6" customFormat="1" ht="12.95" customHeight="1" x14ac:dyDescent="0.2">
      <c r="A8" s="6" t="s">
        <v>2</v>
      </c>
      <c r="C8" s="6">
        <v>2.08955</v>
      </c>
      <c r="D8" s="12" t="s">
        <v>47</v>
      </c>
    </row>
    <row r="9" spans="1:8" s="6" customFormat="1" ht="12.95" customHeight="1" x14ac:dyDescent="0.2">
      <c r="A9" s="13" t="s">
        <v>29</v>
      </c>
      <c r="C9" s="12">
        <v>-9.5</v>
      </c>
      <c r="D9" s="6" t="s">
        <v>30</v>
      </c>
    </row>
    <row r="10" spans="1:8" s="6" customFormat="1" ht="12.95" customHeight="1" thickBot="1" x14ac:dyDescent="0.25">
      <c r="C10" s="14" t="s">
        <v>19</v>
      </c>
      <c r="D10" s="14" t="s">
        <v>20</v>
      </c>
    </row>
    <row r="11" spans="1:8" s="6" customFormat="1" ht="12.95" customHeight="1" x14ac:dyDescent="0.2">
      <c r="A11" s="6" t="s">
        <v>14</v>
      </c>
      <c r="C11" s="15">
        <f ca="1">INTERCEPT(INDIRECT($G$11):G991,INDIRECT($F$11):F991)</f>
        <v>1.0570368041034593E-3</v>
      </c>
      <c r="D11" s="7"/>
      <c r="F11" s="16" t="str">
        <f>"F"&amp;E19</f>
        <v>F21</v>
      </c>
      <c r="G11" s="15" t="str">
        <f>"G"&amp;E19</f>
        <v>G21</v>
      </c>
    </row>
    <row r="12" spans="1:8" s="6" customFormat="1" ht="12.95" customHeight="1" x14ac:dyDescent="0.2">
      <c r="A12" s="6" t="s">
        <v>15</v>
      </c>
      <c r="C12" s="15">
        <f ca="1">SLOPE(INDIRECT($G$11):G991,INDIRECT($F$11):F991)</f>
        <v>-7.1609520193547089E-7</v>
      </c>
      <c r="D12" s="7"/>
    </row>
    <row r="13" spans="1:8" s="6" customFormat="1" ht="12.95" customHeight="1" x14ac:dyDescent="0.2">
      <c r="A13" s="6" t="s">
        <v>18</v>
      </c>
      <c r="C13" s="7" t="s">
        <v>12</v>
      </c>
      <c r="D13" s="17" t="s">
        <v>43</v>
      </c>
      <c r="E13" s="12">
        <v>1</v>
      </c>
    </row>
    <row r="14" spans="1:8" s="6" customFormat="1" ht="12.95" customHeight="1" x14ac:dyDescent="0.2">
      <c r="D14" s="17" t="s">
        <v>31</v>
      </c>
      <c r="E14" s="18">
        <f ca="1">NOW()+15018.5+$C$9/24</f>
        <v>60358.716481249998</v>
      </c>
    </row>
    <row r="15" spans="1:8" s="6" customFormat="1" ht="12.95" customHeight="1" x14ac:dyDescent="0.2">
      <c r="A15" s="19" t="s">
        <v>16</v>
      </c>
      <c r="C15" s="20">
        <f ca="1">(C7+C11)+(C8+C12)*INT(MAX(F21:F3532))</f>
        <v>54192.912776493031</v>
      </c>
      <c r="D15" s="17" t="s">
        <v>44</v>
      </c>
      <c r="E15" s="18">
        <f ca="1">ROUND(2*(E14-$C$7)/$C$8,0)/2+E13</f>
        <v>4042</v>
      </c>
    </row>
    <row r="16" spans="1:8" s="6" customFormat="1" ht="12.95" customHeight="1" x14ac:dyDescent="0.2">
      <c r="A16" s="8" t="s">
        <v>3</v>
      </c>
      <c r="C16" s="21">
        <f ca="1">+C8+C12</f>
        <v>2.0895492839047982</v>
      </c>
      <c r="D16" s="17" t="s">
        <v>32</v>
      </c>
      <c r="E16" s="15">
        <f ca="1">ROUND(2*(E14-$C$15)/$C$16,0)/2+E13</f>
        <v>2952</v>
      </c>
    </row>
    <row r="17" spans="1:17" s="6" customFormat="1" ht="12.95" customHeight="1" thickBot="1" x14ac:dyDescent="0.25">
      <c r="A17" s="17" t="s">
        <v>28</v>
      </c>
      <c r="C17" s="6">
        <f>COUNT(C21:C2190)</f>
        <v>4</v>
      </c>
      <c r="D17" s="17" t="s">
        <v>33</v>
      </c>
      <c r="E17" s="22">
        <f ca="1">+$C$15+$C$16*E16-15018.5-$C$9/24</f>
        <v>45343.158095913328</v>
      </c>
    </row>
    <row r="18" spans="1:17" s="6" customFormat="1" ht="12.95" customHeight="1" thickTop="1" thickBot="1" x14ac:dyDescent="0.25">
      <c r="A18" s="8" t="s">
        <v>4</v>
      </c>
      <c r="C18" s="23">
        <f ca="1">+C15</f>
        <v>54192.912776493031</v>
      </c>
      <c r="D18" s="24">
        <f ca="1">+C16</f>
        <v>2.0895492839047982</v>
      </c>
      <c r="E18" s="25" t="s">
        <v>34</v>
      </c>
    </row>
    <row r="19" spans="1:17" s="6" customFormat="1" ht="12.95" customHeight="1" thickTop="1" x14ac:dyDescent="0.2">
      <c r="A19" s="26" t="s">
        <v>35</v>
      </c>
      <c r="E19" s="27">
        <v>21</v>
      </c>
    </row>
    <row r="20" spans="1:17" s="6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8" t="s">
        <v>38</v>
      </c>
      <c r="I20" s="28" t="s">
        <v>46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13</v>
      </c>
    </row>
    <row r="21" spans="1:17" s="6" customFormat="1" ht="12.95" customHeight="1" x14ac:dyDescent="0.2">
      <c r="A21" s="6" t="str">
        <f>$D$7</f>
        <v>VSX</v>
      </c>
      <c r="C21" s="36">
        <f>$C$7</f>
        <v>51915.303</v>
      </c>
      <c r="D21" s="36"/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 ca="1">+C$11+C$12*$F21</f>
        <v>1.0570368041034593E-3</v>
      </c>
      <c r="Q21" s="33">
        <f>+C21-15018.5</f>
        <v>36896.803</v>
      </c>
    </row>
    <row r="22" spans="1:17" s="6" customFormat="1" ht="12.95" customHeight="1" x14ac:dyDescent="0.2">
      <c r="A22" s="30" t="s">
        <v>38</v>
      </c>
      <c r="B22" s="31" t="s">
        <v>36</v>
      </c>
      <c r="C22" s="30">
        <v>52500.378799999999</v>
      </c>
      <c r="D22" s="32"/>
      <c r="E22" s="6">
        <f>+(C22-C$7)/C$8</f>
        <v>280.0008614294938</v>
      </c>
      <c r="F22" s="6">
        <f>ROUND(2*E22,0)/2</f>
        <v>280</v>
      </c>
      <c r="G22" s="6">
        <f>+C22-(C$7+F22*C$8)</f>
        <v>1.799999998183921E-3</v>
      </c>
      <c r="H22" s="6">
        <f>+G22</f>
        <v>1.799999998183921E-3</v>
      </c>
      <c r="O22" s="6">
        <f ca="1">+C$11+C$12*$F22</f>
        <v>8.5653014756152744E-4</v>
      </c>
      <c r="Q22" s="33">
        <f>+C22-15018.5</f>
        <v>37481.878799999999</v>
      </c>
    </row>
    <row r="23" spans="1:17" s="6" customFormat="1" ht="12.95" customHeight="1" x14ac:dyDescent="0.2">
      <c r="A23" s="4" t="s">
        <v>45</v>
      </c>
      <c r="B23" s="5" t="s">
        <v>36</v>
      </c>
      <c r="C23" s="4">
        <v>53511.7209</v>
      </c>
      <c r="D23" s="4">
        <v>1E-4</v>
      </c>
      <c r="E23" s="6">
        <f>+(C23-C$7)/C$8</f>
        <v>764.00081357230044</v>
      </c>
      <c r="F23" s="6">
        <f>ROUND(2*E23,0)/2</f>
        <v>764</v>
      </c>
      <c r="G23" s="6">
        <f>+C23-(C$7+F23*C$8)</f>
        <v>1.7000000007101335E-3</v>
      </c>
      <c r="I23" s="6">
        <f>+G23</f>
        <v>1.7000000007101335E-3</v>
      </c>
      <c r="O23" s="6">
        <f ca="1">+C$11+C$12*$F23</f>
        <v>5.0994006982475954E-4</v>
      </c>
      <c r="Q23" s="33">
        <f>+C23-15018.5</f>
        <v>38493.2209</v>
      </c>
    </row>
    <row r="24" spans="1:17" s="6" customFormat="1" ht="12.95" customHeight="1" x14ac:dyDescent="0.2">
      <c r="A24" s="34" t="s">
        <v>42</v>
      </c>
      <c r="B24" s="35" t="s">
        <v>36</v>
      </c>
      <c r="C24" s="34">
        <v>54192.911700000055</v>
      </c>
      <c r="D24" s="34">
        <v>2.0000000000000001E-4</v>
      </c>
      <c r="E24" s="6">
        <f>+(C24-C$7)/C$8</f>
        <v>1089.9996171424734</v>
      </c>
      <c r="F24" s="6">
        <f>ROUND(2*E24,0)/2</f>
        <v>1090</v>
      </c>
      <c r="G24" s="6">
        <f>+C24-(C$7+F24*C$8)</f>
        <v>-7.9999994341051206E-4</v>
      </c>
      <c r="I24" s="6">
        <f>+G24</f>
        <v>-7.9999994341051206E-4</v>
      </c>
      <c r="O24" s="6">
        <f ca="1">+C$11+C$12*$F24</f>
        <v>2.76493033993796E-4</v>
      </c>
      <c r="Q24" s="33">
        <f>+C24-15018.5</f>
        <v>39174.411700000055</v>
      </c>
    </row>
    <row r="25" spans="1:17" s="6" customFormat="1" ht="12.95" customHeight="1" x14ac:dyDescent="0.2">
      <c r="C25" s="36"/>
      <c r="D25" s="36"/>
    </row>
    <row r="26" spans="1:17" s="6" customFormat="1" ht="12.95" customHeight="1" x14ac:dyDescent="0.2">
      <c r="C26" s="36"/>
      <c r="D26" s="36"/>
    </row>
    <row r="27" spans="1:17" s="6" customFormat="1" ht="12.95" customHeight="1" x14ac:dyDescent="0.2">
      <c r="C27" s="36"/>
      <c r="D27" s="36"/>
    </row>
    <row r="28" spans="1:17" s="6" customFormat="1" ht="12.95" customHeight="1" x14ac:dyDescent="0.2">
      <c r="C28" s="36"/>
      <c r="D28" s="36"/>
    </row>
    <row r="29" spans="1:17" s="6" customFormat="1" ht="12.95" customHeight="1" x14ac:dyDescent="0.2">
      <c r="C29" s="36"/>
      <c r="D29" s="36"/>
    </row>
    <row r="30" spans="1:17" s="6" customFormat="1" ht="12.95" customHeight="1" x14ac:dyDescent="0.2">
      <c r="C30" s="36"/>
      <c r="D30" s="36"/>
    </row>
    <row r="31" spans="1:17" s="6" customFormat="1" ht="12.95" customHeight="1" x14ac:dyDescent="0.2">
      <c r="C31" s="36"/>
      <c r="D31" s="36"/>
    </row>
    <row r="32" spans="1:17" s="6" customFormat="1" ht="12.95" customHeight="1" x14ac:dyDescent="0.2">
      <c r="C32" s="36"/>
      <c r="D32" s="36"/>
    </row>
    <row r="33" spans="3:4" s="6" customFormat="1" ht="12.95" customHeight="1" x14ac:dyDescent="0.2">
      <c r="C33" s="36"/>
      <c r="D33" s="36"/>
    </row>
    <row r="34" spans="3:4" s="6" customFormat="1" ht="12.95" customHeight="1" x14ac:dyDescent="0.2">
      <c r="C34" s="36"/>
      <c r="D34" s="36"/>
    </row>
    <row r="35" spans="3:4" s="6" customFormat="1" ht="12.95" customHeight="1" x14ac:dyDescent="0.2">
      <c r="C35" s="36"/>
      <c r="D35" s="36"/>
    </row>
    <row r="36" spans="3:4" s="6" customFormat="1" ht="12.95" customHeight="1" x14ac:dyDescent="0.2">
      <c r="C36" s="36"/>
      <c r="D36" s="36"/>
    </row>
    <row r="37" spans="3:4" s="6" customFormat="1" ht="12.95" customHeight="1" x14ac:dyDescent="0.2">
      <c r="C37" s="36"/>
      <c r="D37" s="36"/>
    </row>
    <row r="38" spans="3:4" s="6" customFormat="1" ht="12.95" customHeight="1" x14ac:dyDescent="0.2">
      <c r="C38" s="36"/>
      <c r="D38" s="36"/>
    </row>
    <row r="39" spans="3:4" s="6" customFormat="1" ht="12.95" customHeight="1" x14ac:dyDescent="0.2">
      <c r="C39" s="36"/>
      <c r="D39" s="36"/>
    </row>
    <row r="40" spans="3:4" s="6" customFormat="1" ht="12.95" customHeight="1" x14ac:dyDescent="0.2">
      <c r="C40" s="36"/>
      <c r="D40" s="36"/>
    </row>
    <row r="41" spans="3:4" s="6" customFormat="1" ht="12.95" customHeight="1" x14ac:dyDescent="0.2">
      <c r="C41" s="36"/>
      <c r="D41" s="36"/>
    </row>
    <row r="42" spans="3:4" s="6" customFormat="1" ht="12.95" customHeight="1" x14ac:dyDescent="0.2">
      <c r="C42" s="36"/>
      <c r="D42" s="36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</sheetData>
  <sortState xmlns:xlrd2="http://schemas.microsoft.com/office/spreadsheetml/2017/richdata2" ref="A21:R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2024-02-18T04:11:44Z</dcterms:modified>
</cp:coreProperties>
</file>