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E194D2E4-CBE9-45FF-8E59-5CCC61B137B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2" r:id="rId1"/>
    <sheet name="A (old)" sheetId="1" r:id="rId2"/>
    <sheet name="BAV" sheetId="3" r:id="rId3"/>
  </sheets>
  <calcPr calcId="181029"/>
</workbook>
</file>

<file path=xl/calcChain.xml><?xml version="1.0" encoding="utf-8"?>
<calcChain xmlns="http://schemas.openxmlformats.org/spreadsheetml/2006/main">
  <c r="C32" i="2" l="1"/>
  <c r="C17" i="2" s="1"/>
  <c r="A32" i="2"/>
  <c r="Q33" i="2"/>
  <c r="E21" i="2"/>
  <c r="F21" i="2" s="1"/>
  <c r="G21" i="2" s="1"/>
  <c r="R21" i="2" s="1"/>
  <c r="E23" i="2"/>
  <c r="E17" i="3" s="1"/>
  <c r="E24" i="2"/>
  <c r="F24" i="2" s="1"/>
  <c r="G24" i="2" s="1"/>
  <c r="L24" i="2" s="1"/>
  <c r="E25" i="2"/>
  <c r="E19" i="3" s="1"/>
  <c r="E26" i="2"/>
  <c r="F26" i="2" s="1"/>
  <c r="G26" i="2" s="1"/>
  <c r="L26" i="2" s="1"/>
  <c r="E27" i="2"/>
  <c r="F27" i="2" s="1"/>
  <c r="G27" i="2" s="1"/>
  <c r="L27" i="2" s="1"/>
  <c r="E28" i="2"/>
  <c r="F28" i="2" s="1"/>
  <c r="G28" i="2" s="1"/>
  <c r="L28" i="2" s="1"/>
  <c r="E29" i="2"/>
  <c r="F29" i="2" s="1"/>
  <c r="G29" i="2" s="1"/>
  <c r="R30" i="2" s="1"/>
  <c r="E33" i="2"/>
  <c r="F33" i="2" s="1"/>
  <c r="G33" i="2" s="1"/>
  <c r="L33" i="2" s="1"/>
  <c r="E30" i="2"/>
  <c r="F30" i="2" s="1"/>
  <c r="G30" i="2" s="1"/>
  <c r="I30" i="2" s="1"/>
  <c r="E31" i="2"/>
  <c r="F31" i="2" s="1"/>
  <c r="G31" i="2" s="1"/>
  <c r="K31" i="2" s="1"/>
  <c r="E34" i="2"/>
  <c r="E13" i="3" s="1"/>
  <c r="E35" i="2"/>
  <c r="F35" i="2" s="1"/>
  <c r="G35" i="2" s="1"/>
  <c r="K35" i="2" s="1"/>
  <c r="E36" i="2"/>
  <c r="F36" i="2" s="1"/>
  <c r="G36" i="2" s="1"/>
  <c r="K36" i="2" s="1"/>
  <c r="E37" i="2"/>
  <c r="F37" i="2" s="1"/>
  <c r="G37" i="2" s="1"/>
  <c r="K37" i="2" s="1"/>
  <c r="E38" i="2"/>
  <c r="F38" i="2" s="1"/>
  <c r="G38" i="2" s="1"/>
  <c r="K38" i="2" s="1"/>
  <c r="D9" i="2"/>
  <c r="C9" i="2"/>
  <c r="Q29" i="2"/>
  <c r="Q28" i="2"/>
  <c r="Q27" i="2"/>
  <c r="Q26" i="2"/>
  <c r="Q25" i="2"/>
  <c r="Q24" i="2"/>
  <c r="Q23" i="2"/>
  <c r="Q21" i="2"/>
  <c r="G15" i="3"/>
  <c r="C15" i="3"/>
  <c r="G14" i="3"/>
  <c r="C14" i="3"/>
  <c r="G13" i="3"/>
  <c r="C13" i="3"/>
  <c r="G24" i="3"/>
  <c r="C24" i="3"/>
  <c r="G12" i="3"/>
  <c r="C12" i="3"/>
  <c r="G11" i="3"/>
  <c r="C11" i="3"/>
  <c r="G23" i="3"/>
  <c r="C23" i="3"/>
  <c r="G22" i="3"/>
  <c r="C22" i="3"/>
  <c r="E22" i="3"/>
  <c r="G21" i="3"/>
  <c r="C21" i="3"/>
  <c r="G20" i="3"/>
  <c r="C20" i="3"/>
  <c r="G19" i="3"/>
  <c r="C19" i="3"/>
  <c r="G18" i="3"/>
  <c r="C18" i="3"/>
  <c r="G17" i="3"/>
  <c r="C17" i="3"/>
  <c r="G16" i="3"/>
  <c r="C16" i="3"/>
  <c r="E16" i="3"/>
  <c r="H15" i="3"/>
  <c r="D15" i="3"/>
  <c r="B15" i="3"/>
  <c r="A15" i="3"/>
  <c r="H14" i="3"/>
  <c r="D14" i="3"/>
  <c r="B14" i="3"/>
  <c r="A14" i="3"/>
  <c r="H13" i="3"/>
  <c r="D13" i="3"/>
  <c r="B13" i="3"/>
  <c r="A13" i="3"/>
  <c r="H24" i="3"/>
  <c r="D24" i="3"/>
  <c r="B24" i="3"/>
  <c r="A24" i="3"/>
  <c r="H12" i="3"/>
  <c r="D12" i="3"/>
  <c r="B12" i="3"/>
  <c r="A12" i="3"/>
  <c r="H11" i="3"/>
  <c r="D11" i="3"/>
  <c r="B11" i="3"/>
  <c r="A11" i="3"/>
  <c r="H23" i="3"/>
  <c r="D23" i="3"/>
  <c r="B23" i="3"/>
  <c r="A23" i="3"/>
  <c r="H22" i="3"/>
  <c r="D22" i="3"/>
  <c r="B22" i="3"/>
  <c r="A22" i="3"/>
  <c r="H21" i="3"/>
  <c r="D21" i="3"/>
  <c r="B21" i="3"/>
  <c r="A21" i="3"/>
  <c r="H20" i="3"/>
  <c r="D20" i="3"/>
  <c r="B20" i="3"/>
  <c r="A20" i="3"/>
  <c r="H19" i="3"/>
  <c r="D19" i="3"/>
  <c r="B19" i="3"/>
  <c r="A19" i="3"/>
  <c r="H18" i="3"/>
  <c r="D18" i="3"/>
  <c r="B18" i="3"/>
  <c r="A18" i="3"/>
  <c r="H17" i="3"/>
  <c r="D17" i="3"/>
  <c r="B17" i="3"/>
  <c r="A17" i="3"/>
  <c r="H16" i="3"/>
  <c r="D16" i="3"/>
  <c r="B16" i="3"/>
  <c r="A16" i="3"/>
  <c r="Q36" i="2"/>
  <c r="Q38" i="2"/>
  <c r="E22" i="2"/>
  <c r="F22" i="2" s="1"/>
  <c r="G22" i="2" s="1"/>
  <c r="H22" i="2" s="1"/>
  <c r="F11" i="1"/>
  <c r="F16" i="2"/>
  <c r="F17" i="2" s="1"/>
  <c r="Q22" i="2"/>
  <c r="Q30" i="2"/>
  <c r="Q31" i="2"/>
  <c r="Q34" i="2"/>
  <c r="Q35" i="2"/>
  <c r="Q37" i="2"/>
  <c r="E26" i="1"/>
  <c r="F26" i="1"/>
  <c r="G26" i="1"/>
  <c r="K26" i="1"/>
  <c r="E27" i="1"/>
  <c r="F27" i="1"/>
  <c r="G27" i="1"/>
  <c r="K27" i="1"/>
  <c r="G11" i="1"/>
  <c r="Q26" i="1"/>
  <c r="Q27" i="1"/>
  <c r="E22" i="1"/>
  <c r="F22" i="1"/>
  <c r="G22" i="1"/>
  <c r="I22" i="1"/>
  <c r="E23" i="1"/>
  <c r="E24" i="1"/>
  <c r="E25" i="1"/>
  <c r="E21" i="1"/>
  <c r="F21" i="1"/>
  <c r="G21" i="1"/>
  <c r="H21" i="1"/>
  <c r="F23" i="1"/>
  <c r="G23" i="1"/>
  <c r="J23" i="1"/>
  <c r="F24" i="1"/>
  <c r="G24" i="1"/>
  <c r="K24" i="1"/>
  <c r="F25" i="1"/>
  <c r="G25" i="1"/>
  <c r="K25" i="1"/>
  <c r="Q23" i="1"/>
  <c r="Q24" i="1"/>
  <c r="Q25" i="1"/>
  <c r="Q22" i="1"/>
  <c r="E14" i="1"/>
  <c r="E15" i="1" s="1"/>
  <c r="C17" i="1"/>
  <c r="Q21" i="1"/>
  <c r="C12" i="1"/>
  <c r="Q32" i="2" l="1"/>
  <c r="E32" i="2"/>
  <c r="F32" i="2" s="1"/>
  <c r="G32" i="2" s="1"/>
  <c r="K32" i="2" s="1"/>
  <c r="E18" i="3"/>
  <c r="E20" i="3"/>
  <c r="E23" i="3"/>
  <c r="E24" i="3"/>
  <c r="E11" i="3"/>
  <c r="E14" i="3"/>
  <c r="E21" i="3"/>
  <c r="E15" i="3"/>
  <c r="F34" i="2"/>
  <c r="G34" i="2" s="1"/>
  <c r="F25" i="2"/>
  <c r="G25" i="2" s="1"/>
  <c r="L25" i="2" s="1"/>
  <c r="F23" i="2"/>
  <c r="G23" i="2" s="1"/>
  <c r="L23" i="2" s="1"/>
  <c r="E12" i="3"/>
  <c r="C16" i="1"/>
  <c r="D18" i="1" s="1"/>
  <c r="C12" i="2"/>
  <c r="C11" i="2"/>
  <c r="C11" i="1"/>
  <c r="O32" i="2" l="1"/>
  <c r="O38" i="2"/>
  <c r="O37" i="2"/>
  <c r="O34" i="2"/>
  <c r="O36" i="2"/>
  <c r="C15" i="2"/>
  <c r="C18" i="2" s="1"/>
  <c r="O33" i="2"/>
  <c r="O35" i="2"/>
  <c r="C16" i="2"/>
  <c r="D18" i="2" s="1"/>
  <c r="K34" i="2"/>
  <c r="O26" i="1"/>
  <c r="O23" i="1"/>
  <c r="O22" i="1"/>
  <c r="O21" i="1"/>
  <c r="O24" i="1"/>
  <c r="C15" i="1"/>
  <c r="O27" i="1"/>
  <c r="O25" i="1"/>
  <c r="F18" i="2" l="1"/>
  <c r="F19" i="2" s="1"/>
  <c r="C18" i="1"/>
  <c r="E16" i="1"/>
  <c r="E17" i="1" s="1"/>
</calcChain>
</file>

<file path=xl/sharedStrings.xml><?xml version="1.0" encoding="utf-8"?>
<sst xmlns="http://schemas.openxmlformats.org/spreadsheetml/2006/main" count="255" uniqueCount="127">
  <si>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</si>
  <si>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</si>
  <si>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</si>
  <si>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</si>
  <si>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</si>
  <si>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</si>
  <si>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</si>
  <si>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</si>
  <si>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</si>
  <si>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</si>
  <si>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</si>
  <si>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</si>
  <si>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</si>
  <si>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</si>
  <si>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</si>
  <si>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</si>
  <si>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</si>
  <si>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</si>
  <si>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</si>
  <si>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</si>
  <si>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</si>
  <si>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</si>
  <si>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</si>
  <si>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</si>
  <si>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</si>
  <si>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</si>
  <si>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</si>
  <si>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</si>
  <si>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</si>
  <si>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</si>
  <si>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</si>
  <si>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</si>
  <si>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</si>
  <si>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</si>
  <si>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</si>
  <si>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</si>
  <si>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GCVS</t>
  </si>
  <si>
    <t>BAD</t>
  </si>
  <si>
    <t>Add cycle</t>
  </si>
  <si>
    <t>Old Cycle</t>
  </si>
  <si>
    <t>GCVS 4</t>
  </si>
  <si>
    <t>GK Lib</t>
  </si>
  <si>
    <t>GK Lib / GSC 6170-0656</t>
  </si>
  <si>
    <t>EA</t>
  </si>
  <si>
    <t>Kreiner</t>
  </si>
  <si>
    <t>OEJV 0003</t>
  </si>
  <si>
    <t>I</t>
  </si>
  <si>
    <t>IBVS 5690</t>
  </si>
  <si>
    <t>IBVS 5992</t>
  </si>
  <si>
    <t>IBVS 6029</t>
  </si>
  <si>
    <t>OEJV</t>
  </si>
  <si>
    <t>G6170-0656</t>
  </si>
  <si>
    <t>VSS_2013-01-28</t>
  </si>
  <si>
    <t>II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</si>
  <si>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</si>
  <si>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</si>
  <si>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</si>
  <si>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</si>
  <si>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</si>
  <si>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</si>
  <si>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</si>
  <si>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</si>
  <si>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</si>
  <si>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</si>
  <si>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</si>
  <si>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2438855.507 </t>
  </si>
  <si>
    <t> 05.04.1965 00:10 </t>
  </si>
  <si>
    <t> 0.028 </t>
  </si>
  <si>
    <t>P </t>
  </si>
  <si>
    <t> B.S.Carter </t>
  </si>
  <si>
    <t>IBVS 994 </t>
  </si>
  <si>
    <t>2438906.355 </t>
  </si>
  <si>
    <t> 25.05.1965 20:31 </t>
  </si>
  <si>
    <t> 0.005 </t>
  </si>
  <si>
    <t>2438940.265 </t>
  </si>
  <si>
    <t> 28.06.1965 18:21 </t>
  </si>
  <si>
    <t> 0.001 </t>
  </si>
  <si>
    <t>2439270.353 </t>
  </si>
  <si>
    <t> 24.05.1966 20:28 </t>
  </si>
  <si>
    <t> -0.008 </t>
  </si>
  <si>
    <t>2439287.307 </t>
  </si>
  <si>
    <t> 10.06.1966 19:22 </t>
  </si>
  <si>
    <t> -0.011 </t>
  </si>
  <si>
    <t>2441755.182 </t>
  </si>
  <si>
    <t> 13.03.1973 16:22 </t>
  </si>
  <si>
    <t> 0.048 </t>
  </si>
  <si>
    <t>2442136.110 </t>
  </si>
  <si>
    <t> 29.03.1974 14:38 </t>
  </si>
  <si>
    <t> 0.007 </t>
  </si>
  <si>
    <t>2442927.408 </t>
  </si>
  <si>
    <t> 28.05.1976 21:47 </t>
  </si>
  <si>
    <t> -0.024 </t>
  </si>
  <si>
    <t>V </t>
  </si>
  <si>
    <t> K.Locher </t>
  </si>
  <si>
    <t> BBS 28 </t>
  </si>
  <si>
    <t>2453447.590 </t>
  </si>
  <si>
    <t> 18.03.2005 02:09 </t>
  </si>
  <si>
    <t> 0.004 </t>
  </si>
  <si>
    <t>OEJV 0003 </t>
  </si>
  <si>
    <t>2453473.9609 </t>
  </si>
  <si>
    <t> 13.04.2005 11:03 </t>
  </si>
  <si>
    <t> -0.1908 </t>
  </si>
  <si>
    <t>E </t>
  </si>
  <si>
    <t>?</t>
  </si>
  <si>
    <t> T. Krajci </t>
  </si>
  <si>
    <t>IBVS 5690 </t>
  </si>
  <si>
    <t>2454568.1351 </t>
  </si>
  <si>
    <t> 11.04.2008 15:14 </t>
  </si>
  <si>
    <t> -0.3115 </t>
  </si>
  <si>
    <t>C </t>
  </si>
  <si>
    <t>Ic</t>
  </si>
  <si>
    <t> K.Nakajima </t>
  </si>
  <si>
    <t>VSB 48 </t>
  </si>
  <si>
    <t>2455653.8517 </t>
  </si>
  <si>
    <t> 02.04.2011 08:26 </t>
  </si>
  <si>
    <t> -0.4114 </t>
  </si>
  <si>
    <t> R.Diethelm </t>
  </si>
  <si>
    <t>IBVS 5992 </t>
  </si>
  <si>
    <t>2456036.9137 </t>
  </si>
  <si>
    <t> 19.04.2012 09:55 </t>
  </si>
  <si>
    <t> -0.5787 </t>
  </si>
  <si>
    <t>IBVS 6029 </t>
  </si>
  <si>
    <t>2456087.7112 </t>
  </si>
  <si>
    <t> 09.06.2012 05:04 </t>
  </si>
  <si>
    <t> -0.6523 </t>
  </si>
  <si>
    <t>VSX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</si>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</sst>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0" fillId="0" borderId="1" applyNumberFormat="0" applyFont="0" applyFill="0" applyAlignment="0" applyProtection="0"/>
  </cellStyleXfs>
  <cellXfs count="8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13" fillId="0" borderId="0" xfId="0" applyFont="1" applyAlignment="1">
      <alignment vertical="center"/>
    </xf>
    <xf numFmtId="0" fontId="10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8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8" fillId="2" borderId="11" xfId="7" applyFill="1" applyBorder="1" applyAlignment="1" applyProtection="1">
      <alignment horizontal="right" vertical="top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2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8" fillId="3" borderId="0" xfId="0" applyFont="1" applyFill="1" applyAlignment="1">
      <alignment vertical="center"/>
    </xf>
    <xf numFmtId="14" fontId="0" fillId="0" borderId="0" xfId="0" applyNumberForma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GK Lib - O-C Diagr.</a:t>
            </a:r>
          </a:p>
        </c:rich>
      </c:tx>
      <c:layout>
        <c:manualLayout>
          <c:xMode val="edge"/>
          <c:yMode val="edge"/>
          <c:x val="0.3894736842105263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1">
                    <c:v>0</c:v>
                  </c:pt>
                  <c:pt idx="10">
                    <c:v>8.0000000000000002E-3</c:v>
                  </c:pt>
                  <c:pt idx="13">
                    <c:v>2.0000000000000001E-4</c:v>
                  </c:pt>
                  <c:pt idx="14">
                    <c:v>5.9999999999999995E-4</c:v>
                  </c:pt>
                  <c:pt idx="15">
                    <c:v>1.0000000000000001E-5</c:v>
                  </c:pt>
                  <c:pt idx="16">
                    <c:v>1.1999999999999999E-3</c:v>
                  </c:pt>
                  <c:pt idx="17">
                    <c:v>9.0000000000000006E-5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1">
                    <c:v>0</c:v>
                  </c:pt>
                  <c:pt idx="10">
                    <c:v>8.0000000000000002E-3</c:v>
                  </c:pt>
                  <c:pt idx="13">
                    <c:v>2.0000000000000001E-4</c:v>
                  </c:pt>
                  <c:pt idx="14">
                    <c:v>5.9999999999999995E-4</c:v>
                  </c:pt>
                  <c:pt idx="15">
                    <c:v>1.0000000000000001E-5</c:v>
                  </c:pt>
                  <c:pt idx="16">
                    <c:v>1.1999999999999999E-3</c:v>
                  </c:pt>
                  <c:pt idx="17">
                    <c:v>9.0000000000000006E-5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-6906.5</c:v>
                </c:pt>
                <c:pt idx="1">
                  <c:v>-6883</c:v>
                </c:pt>
                <c:pt idx="2">
                  <c:v>-6883</c:v>
                </c:pt>
                <c:pt idx="3">
                  <c:v>-6867</c:v>
                </c:pt>
                <c:pt idx="4">
                  <c:v>-6711</c:v>
                </c:pt>
                <c:pt idx="5">
                  <c:v>-6703</c:v>
                </c:pt>
                <c:pt idx="6">
                  <c:v>-5537</c:v>
                </c:pt>
                <c:pt idx="7">
                  <c:v>-5357</c:v>
                </c:pt>
                <c:pt idx="8">
                  <c:v>-4983</c:v>
                </c:pt>
                <c:pt idx="9">
                  <c:v>-460</c:v>
                </c:pt>
                <c:pt idx="10">
                  <c:v>-12.5</c:v>
                </c:pt>
                <c:pt idx="11">
                  <c:v>0</c:v>
                </c:pt>
                <c:pt idx="12">
                  <c:v>517</c:v>
                </c:pt>
                <c:pt idx="13">
                  <c:v>1030</c:v>
                </c:pt>
                <c:pt idx="14">
                  <c:v>1211</c:v>
                </c:pt>
                <c:pt idx="15">
                  <c:v>1221</c:v>
                </c:pt>
                <c:pt idx="16">
                  <c:v>1235</c:v>
                </c:pt>
                <c:pt idx="17">
                  <c:v>1392.5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1">
                  <c:v>1.0812000000441913E-2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A7-492C-956F-981D5242E77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0</c:v>
                  </c:pt>
                  <c:pt idx="10">
                    <c:v>8.0000000000000002E-3</c:v>
                  </c:pt>
                  <c:pt idx="13">
                    <c:v>2.0000000000000001E-4</c:v>
                  </c:pt>
                  <c:pt idx="14">
                    <c:v>5.9999999999999995E-4</c:v>
                  </c:pt>
                  <c:pt idx="15">
                    <c:v>1.0000000000000001E-5</c:v>
                  </c:pt>
                  <c:pt idx="16">
                    <c:v>1.1999999999999999E-3</c:v>
                  </c:pt>
                  <c:pt idx="17">
                    <c:v>9.0000000000000006E-5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0</c:v>
                  </c:pt>
                  <c:pt idx="10">
                    <c:v>8.0000000000000002E-3</c:v>
                  </c:pt>
                  <c:pt idx="13">
                    <c:v>2.0000000000000001E-4</c:v>
                  </c:pt>
                  <c:pt idx="14">
                    <c:v>5.9999999999999995E-4</c:v>
                  </c:pt>
                  <c:pt idx="15">
                    <c:v>1.0000000000000001E-5</c:v>
                  </c:pt>
                  <c:pt idx="16">
                    <c:v>1.1999999999999999E-3</c:v>
                  </c:pt>
                  <c:pt idx="17">
                    <c:v>9.0000000000000006E-5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-6906.5</c:v>
                </c:pt>
                <c:pt idx="1">
                  <c:v>-6883</c:v>
                </c:pt>
                <c:pt idx="2">
                  <c:v>-6883</c:v>
                </c:pt>
                <c:pt idx="3">
                  <c:v>-6867</c:v>
                </c:pt>
                <c:pt idx="4">
                  <c:v>-6711</c:v>
                </c:pt>
                <c:pt idx="5">
                  <c:v>-6703</c:v>
                </c:pt>
                <c:pt idx="6">
                  <c:v>-5537</c:v>
                </c:pt>
                <c:pt idx="7">
                  <c:v>-5357</c:v>
                </c:pt>
                <c:pt idx="8">
                  <c:v>-4983</c:v>
                </c:pt>
                <c:pt idx="9">
                  <c:v>-460</c:v>
                </c:pt>
                <c:pt idx="10">
                  <c:v>-12.5</c:v>
                </c:pt>
                <c:pt idx="11">
                  <c:v>0</c:v>
                </c:pt>
                <c:pt idx="12">
                  <c:v>517</c:v>
                </c:pt>
                <c:pt idx="13">
                  <c:v>1030</c:v>
                </c:pt>
                <c:pt idx="14">
                  <c:v>1211</c:v>
                </c:pt>
                <c:pt idx="15">
                  <c:v>1221</c:v>
                </c:pt>
                <c:pt idx="16">
                  <c:v>1235</c:v>
                </c:pt>
                <c:pt idx="17">
                  <c:v>1392.5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9">
                  <c:v>2.4400000038440339E-3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2A7-492C-956F-981D5242E77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0</c:v>
                  </c:pt>
                  <c:pt idx="10">
                    <c:v>8.0000000000000002E-3</c:v>
                  </c:pt>
                  <c:pt idx="13">
                    <c:v>2.0000000000000001E-4</c:v>
                  </c:pt>
                  <c:pt idx="14">
                    <c:v>5.9999999999999995E-4</c:v>
                  </c:pt>
                  <c:pt idx="15">
                    <c:v>1.0000000000000001E-5</c:v>
                  </c:pt>
                  <c:pt idx="16">
                    <c:v>1.1999999999999999E-3</c:v>
                  </c:pt>
                  <c:pt idx="17">
                    <c:v>9.0000000000000006E-5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0</c:v>
                  </c:pt>
                  <c:pt idx="10">
                    <c:v>8.0000000000000002E-3</c:v>
                  </c:pt>
                  <c:pt idx="13">
                    <c:v>2.0000000000000001E-4</c:v>
                  </c:pt>
                  <c:pt idx="14">
                    <c:v>5.9999999999999995E-4</c:v>
                  </c:pt>
                  <c:pt idx="15">
                    <c:v>1.0000000000000001E-5</c:v>
                  </c:pt>
                  <c:pt idx="16">
                    <c:v>1.1999999999999999E-3</c:v>
                  </c:pt>
                  <c:pt idx="17">
                    <c:v>9.0000000000000006E-5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-6906.5</c:v>
                </c:pt>
                <c:pt idx="1">
                  <c:v>-6883</c:v>
                </c:pt>
                <c:pt idx="2">
                  <c:v>-6883</c:v>
                </c:pt>
                <c:pt idx="3">
                  <c:v>-6867</c:v>
                </c:pt>
                <c:pt idx="4">
                  <c:v>-6711</c:v>
                </c:pt>
                <c:pt idx="5">
                  <c:v>-6703</c:v>
                </c:pt>
                <c:pt idx="6">
                  <c:v>-5537</c:v>
                </c:pt>
                <c:pt idx="7">
                  <c:v>-5357</c:v>
                </c:pt>
                <c:pt idx="8">
                  <c:v>-4983</c:v>
                </c:pt>
                <c:pt idx="9">
                  <c:v>-460</c:v>
                </c:pt>
                <c:pt idx="10">
                  <c:v>-12.5</c:v>
                </c:pt>
                <c:pt idx="11">
                  <c:v>0</c:v>
                </c:pt>
                <c:pt idx="12">
                  <c:v>517</c:v>
                </c:pt>
                <c:pt idx="13">
                  <c:v>1030</c:v>
                </c:pt>
                <c:pt idx="14">
                  <c:v>1211</c:v>
                </c:pt>
                <c:pt idx="15">
                  <c:v>1221</c:v>
                </c:pt>
                <c:pt idx="16">
                  <c:v>1235</c:v>
                </c:pt>
                <c:pt idx="17">
                  <c:v>1392.5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2A7-492C-956F-981D5242E77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0</c:v>
                  </c:pt>
                  <c:pt idx="10">
                    <c:v>8.0000000000000002E-3</c:v>
                  </c:pt>
                  <c:pt idx="13">
                    <c:v>2.0000000000000001E-4</c:v>
                  </c:pt>
                  <c:pt idx="14">
                    <c:v>5.9999999999999995E-4</c:v>
                  </c:pt>
                  <c:pt idx="15">
                    <c:v>1.0000000000000001E-5</c:v>
                  </c:pt>
                  <c:pt idx="16">
                    <c:v>1.1999999999999999E-3</c:v>
                  </c:pt>
                  <c:pt idx="17">
                    <c:v>9.0000000000000006E-5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0</c:v>
                  </c:pt>
                  <c:pt idx="10">
                    <c:v>8.0000000000000002E-3</c:v>
                  </c:pt>
                  <c:pt idx="13">
                    <c:v>2.0000000000000001E-4</c:v>
                  </c:pt>
                  <c:pt idx="14">
                    <c:v>5.9999999999999995E-4</c:v>
                  </c:pt>
                  <c:pt idx="15">
                    <c:v>1.0000000000000001E-5</c:v>
                  </c:pt>
                  <c:pt idx="16">
                    <c:v>1.1999999999999999E-3</c:v>
                  </c:pt>
                  <c:pt idx="17">
                    <c:v>9.0000000000000006E-5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-6906.5</c:v>
                </c:pt>
                <c:pt idx="1">
                  <c:v>-6883</c:v>
                </c:pt>
                <c:pt idx="2">
                  <c:v>-6883</c:v>
                </c:pt>
                <c:pt idx="3">
                  <c:v>-6867</c:v>
                </c:pt>
                <c:pt idx="4">
                  <c:v>-6711</c:v>
                </c:pt>
                <c:pt idx="5">
                  <c:v>-6703</c:v>
                </c:pt>
                <c:pt idx="6">
                  <c:v>-5537</c:v>
                </c:pt>
                <c:pt idx="7">
                  <c:v>-5357</c:v>
                </c:pt>
                <c:pt idx="8">
                  <c:v>-4983</c:v>
                </c:pt>
                <c:pt idx="9">
                  <c:v>-460</c:v>
                </c:pt>
                <c:pt idx="10">
                  <c:v>-12.5</c:v>
                </c:pt>
                <c:pt idx="11">
                  <c:v>0</c:v>
                </c:pt>
                <c:pt idx="12">
                  <c:v>517</c:v>
                </c:pt>
                <c:pt idx="13">
                  <c:v>1030</c:v>
                </c:pt>
                <c:pt idx="14">
                  <c:v>1211</c:v>
                </c:pt>
                <c:pt idx="15">
                  <c:v>1221</c:v>
                </c:pt>
                <c:pt idx="16">
                  <c:v>1235</c:v>
                </c:pt>
                <c:pt idx="17">
                  <c:v>1392.5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0">
                  <c:v>8.4900000001653098E-2</c:v>
                </c:pt>
                <c:pt idx="11">
                  <c:v>0</c:v>
                </c:pt>
                <c:pt idx="13">
                  <c:v>-6.7119999999704305E-2</c:v>
                </c:pt>
                <c:pt idx="14">
                  <c:v>-8.5103999997954816E-2</c:v>
                </c:pt>
                <c:pt idx="15">
                  <c:v>-8.350399999471847E-2</c:v>
                </c:pt>
                <c:pt idx="16">
                  <c:v>-8.2739999998011626E-2</c:v>
                </c:pt>
                <c:pt idx="17">
                  <c:v>-9.9149999994551763E-2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2A7-492C-956F-981D5242E77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0</c:v>
                  </c:pt>
                  <c:pt idx="10">
                    <c:v>8.0000000000000002E-3</c:v>
                  </c:pt>
                  <c:pt idx="13">
                    <c:v>2.0000000000000001E-4</c:v>
                  </c:pt>
                  <c:pt idx="14">
                    <c:v>5.9999999999999995E-4</c:v>
                  </c:pt>
                  <c:pt idx="15">
                    <c:v>1.0000000000000001E-5</c:v>
                  </c:pt>
                  <c:pt idx="16">
                    <c:v>1.1999999999999999E-3</c:v>
                  </c:pt>
                  <c:pt idx="17">
                    <c:v>9.0000000000000006E-5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0</c:v>
                  </c:pt>
                  <c:pt idx="10">
                    <c:v>8.0000000000000002E-3</c:v>
                  </c:pt>
                  <c:pt idx="13">
                    <c:v>2.0000000000000001E-4</c:v>
                  </c:pt>
                  <c:pt idx="14">
                    <c:v>5.9999999999999995E-4</c:v>
                  </c:pt>
                  <c:pt idx="15">
                    <c:v>1.0000000000000001E-5</c:v>
                  </c:pt>
                  <c:pt idx="16">
                    <c:v>1.1999999999999999E-3</c:v>
                  </c:pt>
                  <c:pt idx="17">
                    <c:v>9.0000000000000006E-5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-6906.5</c:v>
                </c:pt>
                <c:pt idx="1">
                  <c:v>-6883</c:v>
                </c:pt>
                <c:pt idx="2">
                  <c:v>-6883</c:v>
                </c:pt>
                <c:pt idx="3">
                  <c:v>-6867</c:v>
                </c:pt>
                <c:pt idx="4">
                  <c:v>-6711</c:v>
                </c:pt>
                <c:pt idx="5">
                  <c:v>-6703</c:v>
                </c:pt>
                <c:pt idx="6">
                  <c:v>-5537</c:v>
                </c:pt>
                <c:pt idx="7">
                  <c:v>-5357</c:v>
                </c:pt>
                <c:pt idx="8">
                  <c:v>-4983</c:v>
                </c:pt>
                <c:pt idx="9">
                  <c:v>-460</c:v>
                </c:pt>
                <c:pt idx="10">
                  <c:v>-12.5</c:v>
                </c:pt>
                <c:pt idx="11">
                  <c:v>0</c:v>
                </c:pt>
                <c:pt idx="12">
                  <c:v>517</c:v>
                </c:pt>
                <c:pt idx="13">
                  <c:v>1030</c:v>
                </c:pt>
                <c:pt idx="14">
                  <c:v>1211</c:v>
                </c:pt>
                <c:pt idx="15">
                  <c:v>1221</c:v>
                </c:pt>
                <c:pt idx="16">
                  <c:v>1235</c:v>
                </c:pt>
                <c:pt idx="17">
                  <c:v>1392.5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  <c:pt idx="2">
                  <c:v>1.5812000005098525E-2</c:v>
                </c:pt>
                <c:pt idx="3">
                  <c:v>6.2388000005739741E-2</c:v>
                </c:pt>
                <c:pt idx="4">
                  <c:v>-1.7995999995036982E-2</c:v>
                </c:pt>
                <c:pt idx="5">
                  <c:v>4.292000005079899E-3</c:v>
                </c:pt>
                <c:pt idx="6">
                  <c:v>8.2268000005569775E-2</c:v>
                </c:pt>
                <c:pt idx="7">
                  <c:v>4.6748000000661705E-2</c:v>
                </c:pt>
                <c:pt idx="12">
                  <c:v>-3.7687999996705912E-2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2A7-492C-956F-981D5242E77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0</c:v>
                  </c:pt>
                  <c:pt idx="10">
                    <c:v>8.0000000000000002E-3</c:v>
                  </c:pt>
                  <c:pt idx="13">
                    <c:v>2.0000000000000001E-4</c:v>
                  </c:pt>
                  <c:pt idx="14">
                    <c:v>5.9999999999999995E-4</c:v>
                  </c:pt>
                  <c:pt idx="15">
                    <c:v>1.0000000000000001E-5</c:v>
                  </c:pt>
                  <c:pt idx="16">
                    <c:v>1.1999999999999999E-3</c:v>
                  </c:pt>
                  <c:pt idx="17">
                    <c:v>9.0000000000000006E-5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0</c:v>
                  </c:pt>
                  <c:pt idx="10">
                    <c:v>8.0000000000000002E-3</c:v>
                  </c:pt>
                  <c:pt idx="13">
                    <c:v>2.0000000000000001E-4</c:v>
                  </c:pt>
                  <c:pt idx="14">
                    <c:v>5.9999999999999995E-4</c:v>
                  </c:pt>
                  <c:pt idx="15">
                    <c:v>1.0000000000000001E-5</c:v>
                  </c:pt>
                  <c:pt idx="16">
                    <c:v>1.1999999999999999E-3</c:v>
                  </c:pt>
                  <c:pt idx="17">
                    <c:v>9.0000000000000006E-5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-6906.5</c:v>
                </c:pt>
                <c:pt idx="1">
                  <c:v>-6883</c:v>
                </c:pt>
                <c:pt idx="2">
                  <c:v>-6883</c:v>
                </c:pt>
                <c:pt idx="3">
                  <c:v>-6867</c:v>
                </c:pt>
                <c:pt idx="4">
                  <c:v>-6711</c:v>
                </c:pt>
                <c:pt idx="5">
                  <c:v>-6703</c:v>
                </c:pt>
                <c:pt idx="6">
                  <c:v>-5537</c:v>
                </c:pt>
                <c:pt idx="7">
                  <c:v>-5357</c:v>
                </c:pt>
                <c:pt idx="8">
                  <c:v>-4983</c:v>
                </c:pt>
                <c:pt idx="9">
                  <c:v>-460</c:v>
                </c:pt>
                <c:pt idx="10">
                  <c:v>-12.5</c:v>
                </c:pt>
                <c:pt idx="11">
                  <c:v>0</c:v>
                </c:pt>
                <c:pt idx="12">
                  <c:v>517</c:v>
                </c:pt>
                <c:pt idx="13">
                  <c:v>1030</c:v>
                </c:pt>
                <c:pt idx="14">
                  <c:v>1211</c:v>
                </c:pt>
                <c:pt idx="15">
                  <c:v>1221</c:v>
                </c:pt>
                <c:pt idx="16">
                  <c:v>1235</c:v>
                </c:pt>
                <c:pt idx="17">
                  <c:v>1392.5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2A7-492C-956F-981D5242E77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0</c:v>
                  </c:pt>
                  <c:pt idx="10">
                    <c:v>8.0000000000000002E-3</c:v>
                  </c:pt>
                  <c:pt idx="13">
                    <c:v>2.0000000000000001E-4</c:v>
                  </c:pt>
                  <c:pt idx="14">
                    <c:v>5.9999999999999995E-4</c:v>
                  </c:pt>
                  <c:pt idx="15">
                    <c:v>1.0000000000000001E-5</c:v>
                  </c:pt>
                  <c:pt idx="16">
                    <c:v>1.1999999999999999E-3</c:v>
                  </c:pt>
                  <c:pt idx="17">
                    <c:v>9.0000000000000006E-5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0</c:v>
                  </c:pt>
                  <c:pt idx="10">
                    <c:v>8.0000000000000002E-3</c:v>
                  </c:pt>
                  <c:pt idx="13">
                    <c:v>2.0000000000000001E-4</c:v>
                  </c:pt>
                  <c:pt idx="14">
                    <c:v>5.9999999999999995E-4</c:v>
                  </c:pt>
                  <c:pt idx="15">
                    <c:v>1.0000000000000001E-5</c:v>
                  </c:pt>
                  <c:pt idx="16">
                    <c:v>1.1999999999999999E-3</c:v>
                  </c:pt>
                  <c:pt idx="17">
                    <c:v>9.0000000000000006E-5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-6906.5</c:v>
                </c:pt>
                <c:pt idx="1">
                  <c:v>-6883</c:v>
                </c:pt>
                <c:pt idx="2">
                  <c:v>-6883</c:v>
                </c:pt>
                <c:pt idx="3">
                  <c:v>-6867</c:v>
                </c:pt>
                <c:pt idx="4">
                  <c:v>-6711</c:v>
                </c:pt>
                <c:pt idx="5">
                  <c:v>-6703</c:v>
                </c:pt>
                <c:pt idx="6">
                  <c:v>-5537</c:v>
                </c:pt>
                <c:pt idx="7">
                  <c:v>-5357</c:v>
                </c:pt>
                <c:pt idx="8">
                  <c:v>-4983</c:v>
                </c:pt>
                <c:pt idx="9">
                  <c:v>-460</c:v>
                </c:pt>
                <c:pt idx="10">
                  <c:v>-12.5</c:v>
                </c:pt>
                <c:pt idx="11">
                  <c:v>0</c:v>
                </c:pt>
                <c:pt idx="12">
                  <c:v>517</c:v>
                </c:pt>
                <c:pt idx="13">
                  <c:v>1030</c:v>
                </c:pt>
                <c:pt idx="14">
                  <c:v>1211</c:v>
                </c:pt>
                <c:pt idx="15">
                  <c:v>1221</c:v>
                </c:pt>
                <c:pt idx="16">
                  <c:v>1235</c:v>
                </c:pt>
                <c:pt idx="17">
                  <c:v>1392.5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2A7-492C-956F-981D5242E77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-6906.5</c:v>
                </c:pt>
                <c:pt idx="1">
                  <c:v>-6883</c:v>
                </c:pt>
                <c:pt idx="2">
                  <c:v>-6883</c:v>
                </c:pt>
                <c:pt idx="3">
                  <c:v>-6867</c:v>
                </c:pt>
                <c:pt idx="4">
                  <c:v>-6711</c:v>
                </c:pt>
                <c:pt idx="5">
                  <c:v>-6703</c:v>
                </c:pt>
                <c:pt idx="6">
                  <c:v>-5537</c:v>
                </c:pt>
                <c:pt idx="7">
                  <c:v>-5357</c:v>
                </c:pt>
                <c:pt idx="8">
                  <c:v>-4983</c:v>
                </c:pt>
                <c:pt idx="9">
                  <c:v>-460</c:v>
                </c:pt>
                <c:pt idx="10">
                  <c:v>-12.5</c:v>
                </c:pt>
                <c:pt idx="11">
                  <c:v>0</c:v>
                </c:pt>
                <c:pt idx="12">
                  <c:v>517</c:v>
                </c:pt>
                <c:pt idx="13">
                  <c:v>1030</c:v>
                </c:pt>
                <c:pt idx="14">
                  <c:v>1211</c:v>
                </c:pt>
                <c:pt idx="15">
                  <c:v>1221</c:v>
                </c:pt>
                <c:pt idx="16">
                  <c:v>1235</c:v>
                </c:pt>
                <c:pt idx="17">
                  <c:v>1392.5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11">
                  <c:v>2.3022133512306489E-2</c:v>
                </c:pt>
                <c:pt idx="12">
                  <c:v>-2.2206657212962701E-2</c:v>
                </c:pt>
                <c:pt idx="13">
                  <c:v>-6.7085515321401959E-2</c:v>
                </c:pt>
                <c:pt idx="14">
                  <c:v>-8.2919966232956555E-2</c:v>
                </c:pt>
                <c:pt idx="15">
                  <c:v>-8.379479777503139E-2</c:v>
                </c:pt>
                <c:pt idx="16">
                  <c:v>-8.5019561933936158E-2</c:v>
                </c:pt>
                <c:pt idx="17">
                  <c:v>-9.8798158721614876E-2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2A7-492C-956F-981D5242E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3086824"/>
        <c:axId val="1"/>
      </c:scatterChart>
      <c:valAx>
        <c:axId val="713086824"/>
        <c:scaling>
          <c:orientation val="minMax"/>
          <c:min val="-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120000000000000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30868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293233082706766"/>
          <c:y val="0.92397937099967764"/>
          <c:w val="0.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GK Lib - O-C Diagr.</a:t>
            </a:r>
          </a:p>
        </c:rich>
      </c:tx>
      <c:layout>
        <c:manualLayout>
          <c:xMode val="edge"/>
          <c:yMode val="edge"/>
          <c:x val="0.38888951944070049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62480736323339"/>
          <c:y val="0.13994189017784567"/>
          <c:w val="0.83033154785383212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1">
                    <c:v>0</c:v>
                  </c:pt>
                  <c:pt idx="10">
                    <c:v>8.0000000000000002E-3</c:v>
                  </c:pt>
                  <c:pt idx="13">
                    <c:v>2.0000000000000001E-4</c:v>
                  </c:pt>
                  <c:pt idx="14">
                    <c:v>5.9999999999999995E-4</c:v>
                  </c:pt>
                  <c:pt idx="15">
                    <c:v>1.0000000000000001E-5</c:v>
                  </c:pt>
                  <c:pt idx="16">
                    <c:v>1.1999999999999999E-3</c:v>
                  </c:pt>
                  <c:pt idx="17">
                    <c:v>9.0000000000000006E-5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1">
                    <c:v>0</c:v>
                  </c:pt>
                  <c:pt idx="10">
                    <c:v>8.0000000000000002E-3</c:v>
                  </c:pt>
                  <c:pt idx="13">
                    <c:v>2.0000000000000001E-4</c:v>
                  </c:pt>
                  <c:pt idx="14">
                    <c:v>5.9999999999999995E-4</c:v>
                  </c:pt>
                  <c:pt idx="15">
                    <c:v>1.0000000000000001E-5</c:v>
                  </c:pt>
                  <c:pt idx="16">
                    <c:v>1.1999999999999999E-3</c:v>
                  </c:pt>
                  <c:pt idx="17">
                    <c:v>9.0000000000000006E-5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-6906.5</c:v>
                </c:pt>
                <c:pt idx="1">
                  <c:v>-6883</c:v>
                </c:pt>
                <c:pt idx="2">
                  <c:v>-6883</c:v>
                </c:pt>
                <c:pt idx="3">
                  <c:v>-6867</c:v>
                </c:pt>
                <c:pt idx="4">
                  <c:v>-6711</c:v>
                </c:pt>
                <c:pt idx="5">
                  <c:v>-6703</c:v>
                </c:pt>
                <c:pt idx="6">
                  <c:v>-5537</c:v>
                </c:pt>
                <c:pt idx="7">
                  <c:v>-5357</c:v>
                </c:pt>
                <c:pt idx="8">
                  <c:v>-4983</c:v>
                </c:pt>
                <c:pt idx="9">
                  <c:v>-460</c:v>
                </c:pt>
                <c:pt idx="10">
                  <c:v>-12.5</c:v>
                </c:pt>
                <c:pt idx="11">
                  <c:v>0</c:v>
                </c:pt>
                <c:pt idx="12">
                  <c:v>517</c:v>
                </c:pt>
                <c:pt idx="13">
                  <c:v>1030</c:v>
                </c:pt>
                <c:pt idx="14">
                  <c:v>1211</c:v>
                </c:pt>
                <c:pt idx="15">
                  <c:v>1221</c:v>
                </c:pt>
                <c:pt idx="16">
                  <c:v>1235</c:v>
                </c:pt>
                <c:pt idx="17">
                  <c:v>1392.5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1">
                  <c:v>1.0812000000441913E-2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92-4E3E-8B4E-55549B9EDAA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0</c:v>
                  </c:pt>
                  <c:pt idx="10">
                    <c:v>8.0000000000000002E-3</c:v>
                  </c:pt>
                  <c:pt idx="13">
                    <c:v>2.0000000000000001E-4</c:v>
                  </c:pt>
                  <c:pt idx="14">
                    <c:v>5.9999999999999995E-4</c:v>
                  </c:pt>
                  <c:pt idx="15">
                    <c:v>1.0000000000000001E-5</c:v>
                  </c:pt>
                  <c:pt idx="16">
                    <c:v>1.1999999999999999E-3</c:v>
                  </c:pt>
                  <c:pt idx="17">
                    <c:v>9.0000000000000006E-5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0</c:v>
                  </c:pt>
                  <c:pt idx="10">
                    <c:v>8.0000000000000002E-3</c:v>
                  </c:pt>
                  <c:pt idx="13">
                    <c:v>2.0000000000000001E-4</c:v>
                  </c:pt>
                  <c:pt idx="14">
                    <c:v>5.9999999999999995E-4</c:v>
                  </c:pt>
                  <c:pt idx="15">
                    <c:v>1.0000000000000001E-5</c:v>
                  </c:pt>
                  <c:pt idx="16">
                    <c:v>1.1999999999999999E-3</c:v>
                  </c:pt>
                  <c:pt idx="17">
                    <c:v>9.0000000000000006E-5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-6906.5</c:v>
                </c:pt>
                <c:pt idx="1">
                  <c:v>-6883</c:v>
                </c:pt>
                <c:pt idx="2">
                  <c:v>-6883</c:v>
                </c:pt>
                <c:pt idx="3">
                  <c:v>-6867</c:v>
                </c:pt>
                <c:pt idx="4">
                  <c:v>-6711</c:v>
                </c:pt>
                <c:pt idx="5">
                  <c:v>-6703</c:v>
                </c:pt>
                <c:pt idx="6">
                  <c:v>-5537</c:v>
                </c:pt>
                <c:pt idx="7">
                  <c:v>-5357</c:v>
                </c:pt>
                <c:pt idx="8">
                  <c:v>-4983</c:v>
                </c:pt>
                <c:pt idx="9">
                  <c:v>-460</c:v>
                </c:pt>
                <c:pt idx="10">
                  <c:v>-12.5</c:v>
                </c:pt>
                <c:pt idx="11">
                  <c:v>0</c:v>
                </c:pt>
                <c:pt idx="12">
                  <c:v>517</c:v>
                </c:pt>
                <c:pt idx="13">
                  <c:v>1030</c:v>
                </c:pt>
                <c:pt idx="14">
                  <c:v>1211</c:v>
                </c:pt>
                <c:pt idx="15">
                  <c:v>1221</c:v>
                </c:pt>
                <c:pt idx="16">
                  <c:v>1235</c:v>
                </c:pt>
                <c:pt idx="17">
                  <c:v>1392.5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9">
                  <c:v>2.4400000038440339E-3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B92-4E3E-8B4E-55549B9EDAA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0</c:v>
                  </c:pt>
                  <c:pt idx="10">
                    <c:v>8.0000000000000002E-3</c:v>
                  </c:pt>
                  <c:pt idx="13">
                    <c:v>2.0000000000000001E-4</c:v>
                  </c:pt>
                  <c:pt idx="14">
                    <c:v>5.9999999999999995E-4</c:v>
                  </c:pt>
                  <c:pt idx="15">
                    <c:v>1.0000000000000001E-5</c:v>
                  </c:pt>
                  <c:pt idx="16">
                    <c:v>1.1999999999999999E-3</c:v>
                  </c:pt>
                  <c:pt idx="17">
                    <c:v>9.0000000000000006E-5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0</c:v>
                  </c:pt>
                  <c:pt idx="10">
                    <c:v>8.0000000000000002E-3</c:v>
                  </c:pt>
                  <c:pt idx="13">
                    <c:v>2.0000000000000001E-4</c:v>
                  </c:pt>
                  <c:pt idx="14">
                    <c:v>5.9999999999999995E-4</c:v>
                  </c:pt>
                  <c:pt idx="15">
                    <c:v>1.0000000000000001E-5</c:v>
                  </c:pt>
                  <c:pt idx="16">
                    <c:v>1.1999999999999999E-3</c:v>
                  </c:pt>
                  <c:pt idx="17">
                    <c:v>9.0000000000000006E-5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-6906.5</c:v>
                </c:pt>
                <c:pt idx="1">
                  <c:v>-6883</c:v>
                </c:pt>
                <c:pt idx="2">
                  <c:v>-6883</c:v>
                </c:pt>
                <c:pt idx="3">
                  <c:v>-6867</c:v>
                </c:pt>
                <c:pt idx="4">
                  <c:v>-6711</c:v>
                </c:pt>
                <c:pt idx="5">
                  <c:v>-6703</c:v>
                </c:pt>
                <c:pt idx="6">
                  <c:v>-5537</c:v>
                </c:pt>
                <c:pt idx="7">
                  <c:v>-5357</c:v>
                </c:pt>
                <c:pt idx="8">
                  <c:v>-4983</c:v>
                </c:pt>
                <c:pt idx="9">
                  <c:v>-460</c:v>
                </c:pt>
                <c:pt idx="10">
                  <c:v>-12.5</c:v>
                </c:pt>
                <c:pt idx="11">
                  <c:v>0</c:v>
                </c:pt>
                <c:pt idx="12">
                  <c:v>517</c:v>
                </c:pt>
                <c:pt idx="13">
                  <c:v>1030</c:v>
                </c:pt>
                <c:pt idx="14">
                  <c:v>1211</c:v>
                </c:pt>
                <c:pt idx="15">
                  <c:v>1221</c:v>
                </c:pt>
                <c:pt idx="16">
                  <c:v>1235</c:v>
                </c:pt>
                <c:pt idx="17">
                  <c:v>1392.5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B92-4E3E-8B4E-55549B9EDAA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0</c:v>
                  </c:pt>
                  <c:pt idx="10">
                    <c:v>8.0000000000000002E-3</c:v>
                  </c:pt>
                  <c:pt idx="13">
                    <c:v>2.0000000000000001E-4</c:v>
                  </c:pt>
                  <c:pt idx="14">
                    <c:v>5.9999999999999995E-4</c:v>
                  </c:pt>
                  <c:pt idx="15">
                    <c:v>1.0000000000000001E-5</c:v>
                  </c:pt>
                  <c:pt idx="16">
                    <c:v>1.1999999999999999E-3</c:v>
                  </c:pt>
                  <c:pt idx="17">
                    <c:v>9.0000000000000006E-5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0</c:v>
                  </c:pt>
                  <c:pt idx="10">
                    <c:v>8.0000000000000002E-3</c:v>
                  </c:pt>
                  <c:pt idx="13">
                    <c:v>2.0000000000000001E-4</c:v>
                  </c:pt>
                  <c:pt idx="14">
                    <c:v>5.9999999999999995E-4</c:v>
                  </c:pt>
                  <c:pt idx="15">
                    <c:v>1.0000000000000001E-5</c:v>
                  </c:pt>
                  <c:pt idx="16">
                    <c:v>1.1999999999999999E-3</c:v>
                  </c:pt>
                  <c:pt idx="17">
                    <c:v>9.0000000000000006E-5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-6906.5</c:v>
                </c:pt>
                <c:pt idx="1">
                  <c:v>-6883</c:v>
                </c:pt>
                <c:pt idx="2">
                  <c:v>-6883</c:v>
                </c:pt>
                <c:pt idx="3">
                  <c:v>-6867</c:v>
                </c:pt>
                <c:pt idx="4">
                  <c:v>-6711</c:v>
                </c:pt>
                <c:pt idx="5">
                  <c:v>-6703</c:v>
                </c:pt>
                <c:pt idx="6">
                  <c:v>-5537</c:v>
                </c:pt>
                <c:pt idx="7">
                  <c:v>-5357</c:v>
                </c:pt>
                <c:pt idx="8">
                  <c:v>-4983</c:v>
                </c:pt>
                <c:pt idx="9">
                  <c:v>-460</c:v>
                </c:pt>
                <c:pt idx="10">
                  <c:v>-12.5</c:v>
                </c:pt>
                <c:pt idx="11">
                  <c:v>0</c:v>
                </c:pt>
                <c:pt idx="12">
                  <c:v>517</c:v>
                </c:pt>
                <c:pt idx="13">
                  <c:v>1030</c:v>
                </c:pt>
                <c:pt idx="14">
                  <c:v>1211</c:v>
                </c:pt>
                <c:pt idx="15">
                  <c:v>1221</c:v>
                </c:pt>
                <c:pt idx="16">
                  <c:v>1235</c:v>
                </c:pt>
                <c:pt idx="17">
                  <c:v>1392.5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0">
                  <c:v>8.4900000001653098E-2</c:v>
                </c:pt>
                <c:pt idx="11">
                  <c:v>0</c:v>
                </c:pt>
                <c:pt idx="13">
                  <c:v>-6.7119999999704305E-2</c:v>
                </c:pt>
                <c:pt idx="14">
                  <c:v>-8.5103999997954816E-2</c:v>
                </c:pt>
                <c:pt idx="15">
                  <c:v>-8.350399999471847E-2</c:v>
                </c:pt>
                <c:pt idx="16">
                  <c:v>-8.2739999998011626E-2</c:v>
                </c:pt>
                <c:pt idx="17">
                  <c:v>-9.9149999994551763E-2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B92-4E3E-8B4E-55549B9EDAA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0</c:v>
                  </c:pt>
                  <c:pt idx="10">
                    <c:v>8.0000000000000002E-3</c:v>
                  </c:pt>
                  <c:pt idx="13">
                    <c:v>2.0000000000000001E-4</c:v>
                  </c:pt>
                  <c:pt idx="14">
                    <c:v>5.9999999999999995E-4</c:v>
                  </c:pt>
                  <c:pt idx="15">
                    <c:v>1.0000000000000001E-5</c:v>
                  </c:pt>
                  <c:pt idx="16">
                    <c:v>1.1999999999999999E-3</c:v>
                  </c:pt>
                  <c:pt idx="17">
                    <c:v>9.0000000000000006E-5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0</c:v>
                  </c:pt>
                  <c:pt idx="10">
                    <c:v>8.0000000000000002E-3</c:v>
                  </c:pt>
                  <c:pt idx="13">
                    <c:v>2.0000000000000001E-4</c:v>
                  </c:pt>
                  <c:pt idx="14">
                    <c:v>5.9999999999999995E-4</c:v>
                  </c:pt>
                  <c:pt idx="15">
                    <c:v>1.0000000000000001E-5</c:v>
                  </c:pt>
                  <c:pt idx="16">
                    <c:v>1.1999999999999999E-3</c:v>
                  </c:pt>
                  <c:pt idx="17">
                    <c:v>9.0000000000000006E-5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-6906.5</c:v>
                </c:pt>
                <c:pt idx="1">
                  <c:v>-6883</c:v>
                </c:pt>
                <c:pt idx="2">
                  <c:v>-6883</c:v>
                </c:pt>
                <c:pt idx="3">
                  <c:v>-6867</c:v>
                </c:pt>
                <c:pt idx="4">
                  <c:v>-6711</c:v>
                </c:pt>
                <c:pt idx="5">
                  <c:v>-6703</c:v>
                </c:pt>
                <c:pt idx="6">
                  <c:v>-5537</c:v>
                </c:pt>
                <c:pt idx="7">
                  <c:v>-5357</c:v>
                </c:pt>
                <c:pt idx="8">
                  <c:v>-4983</c:v>
                </c:pt>
                <c:pt idx="9">
                  <c:v>-460</c:v>
                </c:pt>
                <c:pt idx="10">
                  <c:v>-12.5</c:v>
                </c:pt>
                <c:pt idx="11">
                  <c:v>0</c:v>
                </c:pt>
                <c:pt idx="12">
                  <c:v>517</c:v>
                </c:pt>
                <c:pt idx="13">
                  <c:v>1030</c:v>
                </c:pt>
                <c:pt idx="14">
                  <c:v>1211</c:v>
                </c:pt>
                <c:pt idx="15">
                  <c:v>1221</c:v>
                </c:pt>
                <c:pt idx="16">
                  <c:v>1235</c:v>
                </c:pt>
                <c:pt idx="17">
                  <c:v>1392.5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  <c:pt idx="2">
                  <c:v>1.5812000005098525E-2</c:v>
                </c:pt>
                <c:pt idx="3">
                  <c:v>6.2388000005739741E-2</c:v>
                </c:pt>
                <c:pt idx="4">
                  <c:v>-1.7995999995036982E-2</c:v>
                </c:pt>
                <c:pt idx="5">
                  <c:v>4.292000005079899E-3</c:v>
                </c:pt>
                <c:pt idx="6">
                  <c:v>8.2268000005569775E-2</c:v>
                </c:pt>
                <c:pt idx="7">
                  <c:v>4.6748000000661705E-2</c:v>
                </c:pt>
                <c:pt idx="12">
                  <c:v>-3.7687999996705912E-2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B92-4E3E-8B4E-55549B9EDAA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0</c:v>
                  </c:pt>
                  <c:pt idx="10">
                    <c:v>8.0000000000000002E-3</c:v>
                  </c:pt>
                  <c:pt idx="13">
                    <c:v>2.0000000000000001E-4</c:v>
                  </c:pt>
                  <c:pt idx="14">
                    <c:v>5.9999999999999995E-4</c:v>
                  </c:pt>
                  <c:pt idx="15">
                    <c:v>1.0000000000000001E-5</c:v>
                  </c:pt>
                  <c:pt idx="16">
                    <c:v>1.1999999999999999E-3</c:v>
                  </c:pt>
                  <c:pt idx="17">
                    <c:v>9.0000000000000006E-5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0</c:v>
                  </c:pt>
                  <c:pt idx="10">
                    <c:v>8.0000000000000002E-3</c:v>
                  </c:pt>
                  <c:pt idx="13">
                    <c:v>2.0000000000000001E-4</c:v>
                  </c:pt>
                  <c:pt idx="14">
                    <c:v>5.9999999999999995E-4</c:v>
                  </c:pt>
                  <c:pt idx="15">
                    <c:v>1.0000000000000001E-5</c:v>
                  </c:pt>
                  <c:pt idx="16">
                    <c:v>1.1999999999999999E-3</c:v>
                  </c:pt>
                  <c:pt idx="17">
                    <c:v>9.0000000000000006E-5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-6906.5</c:v>
                </c:pt>
                <c:pt idx="1">
                  <c:v>-6883</c:v>
                </c:pt>
                <c:pt idx="2">
                  <c:v>-6883</c:v>
                </c:pt>
                <c:pt idx="3">
                  <c:v>-6867</c:v>
                </c:pt>
                <c:pt idx="4">
                  <c:v>-6711</c:v>
                </c:pt>
                <c:pt idx="5">
                  <c:v>-6703</c:v>
                </c:pt>
                <c:pt idx="6">
                  <c:v>-5537</c:v>
                </c:pt>
                <c:pt idx="7">
                  <c:v>-5357</c:v>
                </c:pt>
                <c:pt idx="8">
                  <c:v>-4983</c:v>
                </c:pt>
                <c:pt idx="9">
                  <c:v>-460</c:v>
                </c:pt>
                <c:pt idx="10">
                  <c:v>-12.5</c:v>
                </c:pt>
                <c:pt idx="11">
                  <c:v>0</c:v>
                </c:pt>
                <c:pt idx="12">
                  <c:v>517</c:v>
                </c:pt>
                <c:pt idx="13">
                  <c:v>1030</c:v>
                </c:pt>
                <c:pt idx="14">
                  <c:v>1211</c:v>
                </c:pt>
                <c:pt idx="15">
                  <c:v>1221</c:v>
                </c:pt>
                <c:pt idx="16">
                  <c:v>1235</c:v>
                </c:pt>
                <c:pt idx="17">
                  <c:v>1392.5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B92-4E3E-8B4E-55549B9EDAA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0</c:v>
                  </c:pt>
                  <c:pt idx="10">
                    <c:v>8.0000000000000002E-3</c:v>
                  </c:pt>
                  <c:pt idx="13">
                    <c:v>2.0000000000000001E-4</c:v>
                  </c:pt>
                  <c:pt idx="14">
                    <c:v>5.9999999999999995E-4</c:v>
                  </c:pt>
                  <c:pt idx="15">
                    <c:v>1.0000000000000001E-5</c:v>
                  </c:pt>
                  <c:pt idx="16">
                    <c:v>1.1999999999999999E-3</c:v>
                  </c:pt>
                  <c:pt idx="17">
                    <c:v>9.0000000000000006E-5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0</c:v>
                  </c:pt>
                  <c:pt idx="10">
                    <c:v>8.0000000000000002E-3</c:v>
                  </c:pt>
                  <c:pt idx="13">
                    <c:v>2.0000000000000001E-4</c:v>
                  </c:pt>
                  <c:pt idx="14">
                    <c:v>5.9999999999999995E-4</c:v>
                  </c:pt>
                  <c:pt idx="15">
                    <c:v>1.0000000000000001E-5</c:v>
                  </c:pt>
                  <c:pt idx="16">
                    <c:v>1.1999999999999999E-3</c:v>
                  </c:pt>
                  <c:pt idx="17">
                    <c:v>9.0000000000000006E-5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-6906.5</c:v>
                </c:pt>
                <c:pt idx="1">
                  <c:v>-6883</c:v>
                </c:pt>
                <c:pt idx="2">
                  <c:v>-6883</c:v>
                </c:pt>
                <c:pt idx="3">
                  <c:v>-6867</c:v>
                </c:pt>
                <c:pt idx="4">
                  <c:v>-6711</c:v>
                </c:pt>
                <c:pt idx="5">
                  <c:v>-6703</c:v>
                </c:pt>
                <c:pt idx="6">
                  <c:v>-5537</c:v>
                </c:pt>
                <c:pt idx="7">
                  <c:v>-5357</c:v>
                </c:pt>
                <c:pt idx="8">
                  <c:v>-4983</c:v>
                </c:pt>
                <c:pt idx="9">
                  <c:v>-460</c:v>
                </c:pt>
                <c:pt idx="10">
                  <c:v>-12.5</c:v>
                </c:pt>
                <c:pt idx="11">
                  <c:v>0</c:v>
                </c:pt>
                <c:pt idx="12">
                  <c:v>517</c:v>
                </c:pt>
                <c:pt idx="13">
                  <c:v>1030</c:v>
                </c:pt>
                <c:pt idx="14">
                  <c:v>1211</c:v>
                </c:pt>
                <c:pt idx="15">
                  <c:v>1221</c:v>
                </c:pt>
                <c:pt idx="16">
                  <c:v>1235</c:v>
                </c:pt>
                <c:pt idx="17">
                  <c:v>1392.5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B92-4E3E-8B4E-55549B9EDAA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-6906.5</c:v>
                </c:pt>
                <c:pt idx="1">
                  <c:v>-6883</c:v>
                </c:pt>
                <c:pt idx="2">
                  <c:v>-6883</c:v>
                </c:pt>
                <c:pt idx="3">
                  <c:v>-6867</c:v>
                </c:pt>
                <c:pt idx="4">
                  <c:v>-6711</c:v>
                </c:pt>
                <c:pt idx="5">
                  <c:v>-6703</c:v>
                </c:pt>
                <c:pt idx="6">
                  <c:v>-5537</c:v>
                </c:pt>
                <c:pt idx="7">
                  <c:v>-5357</c:v>
                </c:pt>
                <c:pt idx="8">
                  <c:v>-4983</c:v>
                </c:pt>
                <c:pt idx="9">
                  <c:v>-460</c:v>
                </c:pt>
                <c:pt idx="10">
                  <c:v>-12.5</c:v>
                </c:pt>
                <c:pt idx="11">
                  <c:v>0</c:v>
                </c:pt>
                <c:pt idx="12">
                  <c:v>517</c:v>
                </c:pt>
                <c:pt idx="13">
                  <c:v>1030</c:v>
                </c:pt>
                <c:pt idx="14">
                  <c:v>1211</c:v>
                </c:pt>
                <c:pt idx="15">
                  <c:v>1221</c:v>
                </c:pt>
                <c:pt idx="16">
                  <c:v>1235</c:v>
                </c:pt>
                <c:pt idx="17">
                  <c:v>1392.5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11">
                  <c:v>2.3022133512306489E-2</c:v>
                </c:pt>
                <c:pt idx="12">
                  <c:v>-2.2206657212962701E-2</c:v>
                </c:pt>
                <c:pt idx="13">
                  <c:v>-6.7085515321401959E-2</c:v>
                </c:pt>
                <c:pt idx="14">
                  <c:v>-8.2919966232956555E-2</c:v>
                </c:pt>
                <c:pt idx="15">
                  <c:v>-8.379479777503139E-2</c:v>
                </c:pt>
                <c:pt idx="16">
                  <c:v>-8.5019561933936158E-2</c:v>
                </c:pt>
                <c:pt idx="17">
                  <c:v>-9.8798158721614876E-2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B92-4E3E-8B4E-55549B9EDAAD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-6906.5</c:v>
                </c:pt>
                <c:pt idx="1">
                  <c:v>-6883</c:v>
                </c:pt>
                <c:pt idx="2">
                  <c:v>-6883</c:v>
                </c:pt>
                <c:pt idx="3">
                  <c:v>-6867</c:v>
                </c:pt>
                <c:pt idx="4">
                  <c:v>-6711</c:v>
                </c:pt>
                <c:pt idx="5">
                  <c:v>-6703</c:v>
                </c:pt>
                <c:pt idx="6">
                  <c:v>-5537</c:v>
                </c:pt>
                <c:pt idx="7">
                  <c:v>-5357</c:v>
                </c:pt>
                <c:pt idx="8">
                  <c:v>-4983</c:v>
                </c:pt>
                <c:pt idx="9">
                  <c:v>-460</c:v>
                </c:pt>
                <c:pt idx="10">
                  <c:v>-12.5</c:v>
                </c:pt>
                <c:pt idx="11">
                  <c:v>0</c:v>
                </c:pt>
                <c:pt idx="12">
                  <c:v>517</c:v>
                </c:pt>
                <c:pt idx="13">
                  <c:v>1030</c:v>
                </c:pt>
                <c:pt idx="14">
                  <c:v>1211</c:v>
                </c:pt>
                <c:pt idx="15">
                  <c:v>1221</c:v>
                </c:pt>
                <c:pt idx="16">
                  <c:v>1235</c:v>
                </c:pt>
                <c:pt idx="17">
                  <c:v>1392.5</c:v>
                </c:pt>
              </c:numCache>
            </c:numRef>
          </c:xVal>
          <c:yVal>
            <c:numRef>
              <c:f>Active!$R$21:$R$998</c:f>
              <c:numCache>
                <c:formatCode>General</c:formatCode>
                <c:ptCount val="978"/>
                <c:pt idx="0">
                  <c:v>-1.0952839999954449</c:v>
                </c:pt>
                <c:pt idx="9">
                  <c:v>-0.21278799999709008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B92-4E3E-8B4E-55549B9ED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0482408"/>
        <c:axId val="1"/>
      </c:scatterChart>
      <c:valAx>
        <c:axId val="7204824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02180921078556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04824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6216247743806797"/>
          <c:y val="0.92419947506561673"/>
          <c:w val="0.79879990226446917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GK Lib - O-C Diagr.</a:t>
            </a:r>
          </a:p>
        </c:rich>
      </c:tx>
      <c:layout>
        <c:manualLayout>
          <c:xMode val="edge"/>
          <c:yMode val="edge"/>
          <c:x val="0.3894736842105263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76246334310852"/>
          <c:w val="0.8300751879699248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8.0000000000000002E-3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1.1999999999999999E-3</c:v>
                  </c:pt>
                </c:numCache>
              </c:numRef>
            </c:plus>
            <c:minus>
              <c:numRef>
                <c:f>'A (old)'!$D$21:$D$239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8.0000000000000002E-3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-6423</c:v>
                </c:pt>
                <c:pt idx="1">
                  <c:v>0</c:v>
                </c:pt>
                <c:pt idx="2">
                  <c:v>447.5</c:v>
                </c:pt>
                <c:pt idx="3">
                  <c:v>460</c:v>
                </c:pt>
                <c:pt idx="4">
                  <c:v>1490</c:v>
                </c:pt>
                <c:pt idx="5">
                  <c:v>1671</c:v>
                </c:pt>
                <c:pt idx="6">
                  <c:v>1695</c:v>
                </c:pt>
              </c:numCache>
            </c:numRef>
          </c:xVal>
          <c:yVal>
            <c:numRef>
              <c:f>'A (old)'!$H$21:$H$999</c:f>
              <c:numCache>
                <c:formatCode>General</c:formatCode>
                <c:ptCount val="979"/>
                <c:pt idx="0">
                  <c:v>-1.1539300008735154E-2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281-4F64-A44D-B263920F4F3E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8.0000000000000002E-3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1.1999999999999999E-3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8.0000000000000002E-3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-6423</c:v>
                </c:pt>
                <c:pt idx="1">
                  <c:v>0</c:v>
                </c:pt>
                <c:pt idx="2">
                  <c:v>447.5</c:v>
                </c:pt>
                <c:pt idx="3">
                  <c:v>460</c:v>
                </c:pt>
                <c:pt idx="4">
                  <c:v>1490</c:v>
                </c:pt>
                <c:pt idx="5">
                  <c:v>1671</c:v>
                </c:pt>
                <c:pt idx="6">
                  <c:v>1695</c:v>
                </c:pt>
              </c:numCache>
            </c:numRef>
          </c:xVal>
          <c:yVal>
            <c:numRef>
              <c:f>'A (old)'!$I$21:$I$999</c:f>
              <c:numCache>
                <c:formatCode>General</c:formatCode>
                <c:ptCount val="979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281-4F64-A44D-B263920F4F3E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8.0000000000000002E-3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1.1999999999999999E-3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8.0000000000000002E-3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-6423</c:v>
                </c:pt>
                <c:pt idx="1">
                  <c:v>0</c:v>
                </c:pt>
                <c:pt idx="2">
                  <c:v>447.5</c:v>
                </c:pt>
                <c:pt idx="3">
                  <c:v>460</c:v>
                </c:pt>
                <c:pt idx="4">
                  <c:v>1490</c:v>
                </c:pt>
                <c:pt idx="5">
                  <c:v>1671</c:v>
                </c:pt>
                <c:pt idx="6">
                  <c:v>1695</c:v>
                </c:pt>
              </c:numCache>
            </c:numRef>
          </c:xVal>
          <c:yVal>
            <c:numRef>
              <c:f>'A (old)'!$J$21:$J$999</c:f>
              <c:numCache>
                <c:formatCode>General</c:formatCode>
                <c:ptCount val="979"/>
                <c:pt idx="2">
                  <c:v>8.3847249996324535E-2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281-4F64-A44D-B263920F4F3E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8.0000000000000002E-3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1.1999999999999999E-3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8.0000000000000002E-3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-6423</c:v>
                </c:pt>
                <c:pt idx="1">
                  <c:v>0</c:v>
                </c:pt>
                <c:pt idx="2">
                  <c:v>447.5</c:v>
                </c:pt>
                <c:pt idx="3">
                  <c:v>460</c:v>
                </c:pt>
                <c:pt idx="4">
                  <c:v>1490</c:v>
                </c:pt>
                <c:pt idx="5">
                  <c:v>1671</c:v>
                </c:pt>
                <c:pt idx="6">
                  <c:v>1695</c:v>
                </c:pt>
              </c:numCache>
            </c:numRef>
          </c:xVal>
          <c:yVal>
            <c:numRef>
              <c:f>'A (old)'!$K$21:$K$999</c:f>
              <c:numCache>
                <c:formatCode>General</c:formatCode>
                <c:ptCount val="979"/>
                <c:pt idx="3">
                  <c:v>-1.0140000013052486E-3</c:v>
                </c:pt>
                <c:pt idx="4">
                  <c:v>-6.494100000418257E-2</c:v>
                </c:pt>
                <c:pt idx="5">
                  <c:v>-8.2363900008203927E-2</c:v>
                </c:pt>
                <c:pt idx="6">
                  <c:v>-7.9925500001991168E-2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281-4F64-A44D-B263920F4F3E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8.0000000000000002E-3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1.1999999999999999E-3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8.0000000000000002E-3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-6423</c:v>
                </c:pt>
                <c:pt idx="1">
                  <c:v>0</c:v>
                </c:pt>
                <c:pt idx="2">
                  <c:v>447.5</c:v>
                </c:pt>
                <c:pt idx="3">
                  <c:v>460</c:v>
                </c:pt>
                <c:pt idx="4">
                  <c:v>1490</c:v>
                </c:pt>
                <c:pt idx="5">
                  <c:v>1671</c:v>
                </c:pt>
                <c:pt idx="6">
                  <c:v>1695</c:v>
                </c:pt>
              </c:numCache>
            </c:numRef>
          </c:xVal>
          <c:yVal>
            <c:numRef>
              <c:f>'A (old)'!$L$21:$L$999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281-4F64-A44D-B263920F4F3E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8.0000000000000002E-3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1.1999999999999999E-3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8.0000000000000002E-3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-6423</c:v>
                </c:pt>
                <c:pt idx="1">
                  <c:v>0</c:v>
                </c:pt>
                <c:pt idx="2">
                  <c:v>447.5</c:v>
                </c:pt>
                <c:pt idx="3">
                  <c:v>460</c:v>
                </c:pt>
                <c:pt idx="4">
                  <c:v>1490</c:v>
                </c:pt>
                <c:pt idx="5">
                  <c:v>1671</c:v>
                </c:pt>
                <c:pt idx="6">
                  <c:v>1695</c:v>
                </c:pt>
              </c:numCache>
            </c:numRef>
          </c:xVal>
          <c:yVal>
            <c:numRef>
              <c:f>'A (old)'!$M$21:$M$999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281-4F64-A44D-B263920F4F3E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8.0000000000000002E-3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1.1999999999999999E-3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8.0000000000000002E-3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-6423</c:v>
                </c:pt>
                <c:pt idx="1">
                  <c:v>0</c:v>
                </c:pt>
                <c:pt idx="2">
                  <c:v>447.5</c:v>
                </c:pt>
                <c:pt idx="3">
                  <c:v>460</c:v>
                </c:pt>
                <c:pt idx="4">
                  <c:v>1490</c:v>
                </c:pt>
                <c:pt idx="5">
                  <c:v>1671</c:v>
                </c:pt>
                <c:pt idx="6">
                  <c:v>1695</c:v>
                </c:pt>
              </c:numCache>
            </c:numRef>
          </c:xVal>
          <c:yVal>
            <c:numRef>
              <c:f>'A (old)'!$N$21:$N$999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281-4F64-A44D-B263920F4F3E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-6423</c:v>
                </c:pt>
                <c:pt idx="1">
                  <c:v>0</c:v>
                </c:pt>
                <c:pt idx="2">
                  <c:v>447.5</c:v>
                </c:pt>
                <c:pt idx="3">
                  <c:v>460</c:v>
                </c:pt>
                <c:pt idx="4">
                  <c:v>1490</c:v>
                </c:pt>
                <c:pt idx="5">
                  <c:v>1671</c:v>
                </c:pt>
                <c:pt idx="6">
                  <c:v>1695</c:v>
                </c:pt>
              </c:numCache>
            </c:numRef>
          </c:xVal>
          <c:yVal>
            <c:numRef>
              <c:f>'A (old)'!$O$21:$O$999</c:f>
              <c:numCache>
                <c:formatCode>General</c:formatCode>
                <c:ptCount val="979"/>
                <c:pt idx="0">
                  <c:v>0.49503690258701194</c:v>
                </c:pt>
                <c:pt idx="1">
                  <c:v>4.3467654447048171E-2</c:v>
                </c:pt>
                <c:pt idx="2">
                  <c:v>1.20061507038388E-2</c:v>
                </c:pt>
                <c:pt idx="3">
                  <c:v>1.1127337750117872E-2</c:v>
                </c:pt>
                <c:pt idx="4">
                  <c:v>-6.1286849636486937E-2</c:v>
                </c:pt>
                <c:pt idx="5">
                  <c:v>-7.4012061206366025E-2</c:v>
                </c:pt>
                <c:pt idx="6">
                  <c:v>-7.5699382077510216E-2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281-4F64-A44D-B263920F4F3E}"/>
            </c:ext>
          </c:extLst>
        </c:ser>
        <c:ser>
          <c:idx val="8"/>
          <c:order val="8"/>
          <c:tx>
            <c:strRef>
              <c:f>'A (old)'!$R$20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-6423</c:v>
                </c:pt>
                <c:pt idx="1">
                  <c:v>0</c:v>
                </c:pt>
                <c:pt idx="2">
                  <c:v>447.5</c:v>
                </c:pt>
                <c:pt idx="3">
                  <c:v>460</c:v>
                </c:pt>
                <c:pt idx="4">
                  <c:v>1490</c:v>
                </c:pt>
                <c:pt idx="5">
                  <c:v>1671</c:v>
                </c:pt>
                <c:pt idx="6">
                  <c:v>1695</c:v>
                </c:pt>
              </c:numCache>
            </c:numRef>
          </c:xVal>
          <c:yVal>
            <c:numRef>
              <c:f>'A (old)'!$R$21:$R$999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281-4F64-A44D-B263920F4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3169808"/>
        <c:axId val="1"/>
      </c:scatterChart>
      <c:valAx>
        <c:axId val="8231698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31698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62406015037594"/>
          <c:y val="0.92375366568914952"/>
          <c:w val="0.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81BD9F43-317F-95A7-6592-3F4E0B7217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333375</xdr:colOff>
      <xdr:row>0</xdr:row>
      <xdr:rowOff>0</xdr:rowOff>
    </xdr:from>
    <xdr:to>
      <xdr:col>26</xdr:col>
      <xdr:colOff>504825</xdr:colOff>
      <xdr:row>19</xdr:row>
      <xdr:rowOff>9525</xdr:rowOff>
    </xdr:to>
    <xdr:graphicFrame macro="">
      <xdr:nvGraphicFramePr>
        <xdr:cNvPr id="50180" name="Chart 2">
          <a:extLst>
            <a:ext uri="{FF2B5EF4-FFF2-40B4-BE49-F238E27FC236}">
              <a16:creationId xmlns:a16="http://schemas.microsoft.com/office/drawing/2014/main" id="{04D34F01-8599-DB5D-1D83-243683B370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0</xdr:rowOff>
    </xdr:from>
    <xdr:to>
      <xdr:col>16</xdr:col>
      <xdr:colOff>142875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3B0A029-86E7-664A-04DB-A08C9708E4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03.pdf" TargetMode="External"/><Relationship Id="rId13" Type="http://schemas.openxmlformats.org/officeDocument/2006/relationships/hyperlink" Target="http://www.konkoly.hu/cgi-bin/IBVS?6029" TargetMode="External"/><Relationship Id="rId3" Type="http://schemas.openxmlformats.org/officeDocument/2006/relationships/hyperlink" Target="http://www.konkoly.hu/cgi-bin/IBVS?994" TargetMode="External"/><Relationship Id="rId7" Type="http://schemas.openxmlformats.org/officeDocument/2006/relationships/hyperlink" Target="http://www.konkoly.hu/cgi-bin/IBVS?994" TargetMode="External"/><Relationship Id="rId12" Type="http://schemas.openxmlformats.org/officeDocument/2006/relationships/hyperlink" Target="http://www.konkoly.hu/cgi-bin/IBVS?6029" TargetMode="External"/><Relationship Id="rId2" Type="http://schemas.openxmlformats.org/officeDocument/2006/relationships/hyperlink" Target="http://www.konkoly.hu/cgi-bin/IBVS?994" TargetMode="External"/><Relationship Id="rId1" Type="http://schemas.openxmlformats.org/officeDocument/2006/relationships/hyperlink" Target="http://www.konkoly.hu/cgi-bin/IBVS?994" TargetMode="External"/><Relationship Id="rId6" Type="http://schemas.openxmlformats.org/officeDocument/2006/relationships/hyperlink" Target="http://www.konkoly.hu/cgi-bin/IBVS?994" TargetMode="External"/><Relationship Id="rId11" Type="http://schemas.openxmlformats.org/officeDocument/2006/relationships/hyperlink" Target="http://www.konkoly.hu/cgi-bin/IBVS?5992" TargetMode="External"/><Relationship Id="rId5" Type="http://schemas.openxmlformats.org/officeDocument/2006/relationships/hyperlink" Target="http://www.konkoly.hu/cgi-bin/IBVS?994" TargetMode="External"/><Relationship Id="rId10" Type="http://schemas.openxmlformats.org/officeDocument/2006/relationships/hyperlink" Target="http://vsolj.cetus-net.org/no48.pdf" TargetMode="External"/><Relationship Id="rId4" Type="http://schemas.openxmlformats.org/officeDocument/2006/relationships/hyperlink" Target="http://www.konkoly.hu/cgi-bin/IBVS?994" TargetMode="External"/><Relationship Id="rId9" Type="http://schemas.openxmlformats.org/officeDocument/2006/relationships/hyperlink" Target="http://www.konkoly.hu/cgi-bin/IBVS?56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R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42</v>
      </c>
      <c r="E1" s="30" t="s">
        <v>41</v>
      </c>
      <c r="F1" t="s">
        <v>51</v>
      </c>
    </row>
    <row r="2" spans="1:6" s="49" customFormat="1" ht="12.95" customHeight="1" x14ac:dyDescent="0.2">
      <c r="A2" s="49" t="s">
        <v>23</v>
      </c>
      <c r="B2" s="49" t="s">
        <v>43</v>
      </c>
      <c r="C2" s="50"/>
      <c r="D2" s="50"/>
      <c r="E2" s="49">
        <v>0</v>
      </c>
    </row>
    <row r="3" spans="1:6" s="49" customFormat="1" ht="12.95" customHeight="1" thickBot="1" x14ac:dyDescent="0.25"/>
    <row r="4" spans="1:6" s="49" customFormat="1" ht="12.95" customHeight="1" thickTop="1" thickBot="1" x14ac:dyDescent="0.25">
      <c r="A4" s="51" t="s">
        <v>0</v>
      </c>
      <c r="C4" s="52">
        <v>38906.35</v>
      </c>
      <c r="D4" s="53">
        <v>1.1304700000000001</v>
      </c>
    </row>
    <row r="5" spans="1:6" s="49" customFormat="1" ht="12.95" customHeight="1" thickTop="1" x14ac:dyDescent="0.2">
      <c r="A5" s="54" t="s">
        <v>29</v>
      </c>
      <c r="C5" s="55">
        <v>-9.5</v>
      </c>
      <c r="D5" s="49" t="s">
        <v>30</v>
      </c>
    </row>
    <row r="6" spans="1:6" s="49" customFormat="1" ht="12.95" customHeight="1" x14ac:dyDescent="0.2">
      <c r="A6" s="51" t="s">
        <v>1</v>
      </c>
    </row>
    <row r="7" spans="1:6" s="49" customFormat="1" ht="12.95" customHeight="1" x14ac:dyDescent="0.2">
      <c r="A7" s="49" t="s">
        <v>2</v>
      </c>
      <c r="C7" s="81">
        <v>53473.960899999998</v>
      </c>
      <c r="D7" s="57" t="s">
        <v>125</v>
      </c>
    </row>
    <row r="8" spans="1:6" s="49" customFormat="1" ht="12.95" customHeight="1" x14ac:dyDescent="0.2">
      <c r="A8" s="49" t="s">
        <v>3</v>
      </c>
      <c r="C8" s="81">
        <v>2.1164640000000001</v>
      </c>
      <c r="D8" s="58" t="s">
        <v>125</v>
      </c>
    </row>
    <row r="9" spans="1:6" s="49" customFormat="1" ht="12.95" customHeight="1" x14ac:dyDescent="0.2">
      <c r="A9" s="30" t="s">
        <v>35</v>
      </c>
      <c r="B9" s="59">
        <v>34</v>
      </c>
      <c r="C9" s="60" t="str">
        <f>"F"&amp;B9</f>
        <v>F34</v>
      </c>
      <c r="D9" s="61" t="str">
        <f>"G"&amp;B9</f>
        <v>G34</v>
      </c>
    </row>
    <row r="10" spans="1:6" s="49" customFormat="1" ht="12.95" customHeight="1" thickBot="1" x14ac:dyDescent="0.25">
      <c r="C10" s="62" t="s">
        <v>19</v>
      </c>
      <c r="D10" s="62" t="s">
        <v>20</v>
      </c>
    </row>
    <row r="11" spans="1:6" s="49" customFormat="1" ht="12.95" customHeight="1" x14ac:dyDescent="0.2">
      <c r="A11" s="49" t="s">
        <v>15</v>
      </c>
      <c r="C11" s="61">
        <f ca="1">INTERCEPT(INDIRECT($D$9):G991,INDIRECT($C$9):F991)</f>
        <v>2.3022133512306489E-2</v>
      </c>
      <c r="D11" s="50"/>
    </row>
    <row r="12" spans="1:6" s="49" customFormat="1" ht="12.95" customHeight="1" x14ac:dyDescent="0.2">
      <c r="A12" s="49" t="s">
        <v>16</v>
      </c>
      <c r="C12" s="61">
        <f ca="1">SLOPE(INDIRECT($D$9):G991,INDIRECT($C$9):F991)</f>
        <v>-8.7483154207483929E-5</v>
      </c>
      <c r="D12" s="50"/>
    </row>
    <row r="13" spans="1:6" s="49" customFormat="1" ht="12.95" customHeight="1" x14ac:dyDescent="0.2">
      <c r="A13" s="49" t="s">
        <v>18</v>
      </c>
      <c r="C13" s="50" t="s">
        <v>13</v>
      </c>
    </row>
    <row r="14" spans="1:6" s="49" customFormat="1" ht="12.95" customHeight="1" x14ac:dyDescent="0.2"/>
    <row r="15" spans="1:6" s="49" customFormat="1" ht="12.95" customHeight="1" x14ac:dyDescent="0.2">
      <c r="A15" s="63" t="s">
        <v>17</v>
      </c>
      <c r="C15" s="64">
        <f ca="1">(C7+C11)+(C8+C12)*INT(MAX(F21:F3532))</f>
        <v>56419.980033582855</v>
      </c>
      <c r="E15" s="58" t="s">
        <v>38</v>
      </c>
      <c r="F15" s="55">
        <v>1</v>
      </c>
    </row>
    <row r="16" spans="1:6" s="49" customFormat="1" ht="12.95" customHeight="1" x14ac:dyDescent="0.2">
      <c r="A16" s="51" t="s">
        <v>4</v>
      </c>
      <c r="C16" s="65">
        <f ca="1">+C8+C12</f>
        <v>2.1163765168457926</v>
      </c>
      <c r="E16" s="58" t="s">
        <v>31</v>
      </c>
      <c r="F16" s="66">
        <f ca="1">NOW()+15018.5+$C$5/24</f>
        <v>60358.721978587957</v>
      </c>
    </row>
    <row r="17" spans="1:18" s="49" customFormat="1" ht="12.95" customHeight="1" thickBot="1" x14ac:dyDescent="0.25">
      <c r="A17" s="58" t="s">
        <v>28</v>
      </c>
      <c r="C17" s="49">
        <f>COUNT(C21:C2190)</f>
        <v>18</v>
      </c>
      <c r="E17" s="58" t="s">
        <v>39</v>
      </c>
      <c r="F17" s="66">
        <f ca="1">ROUND(2*(F16-$C$25)/$C$8,0)/2+F15</f>
        <v>9965</v>
      </c>
    </row>
    <row r="18" spans="1:18" s="49" customFormat="1" ht="12.95" customHeight="1" thickTop="1" thickBot="1" x14ac:dyDescent="0.25">
      <c r="A18" s="51" t="s">
        <v>5</v>
      </c>
      <c r="C18" s="67">
        <f ca="1">+C15</f>
        <v>56419.980033582855</v>
      </c>
      <c r="D18" s="68">
        <f ca="1">+C16</f>
        <v>2.1163765168457926</v>
      </c>
      <c r="E18" s="58" t="s">
        <v>32</v>
      </c>
      <c r="F18" s="61">
        <f ca="1">ROUND(2*(F16-$C$15)/$C$16,0)/2+F15</f>
        <v>1862</v>
      </c>
    </row>
    <row r="19" spans="1:18" s="49" customFormat="1" ht="12.95" customHeight="1" thickTop="1" x14ac:dyDescent="0.2">
      <c r="E19" s="58" t="s">
        <v>33</v>
      </c>
      <c r="F19" s="69">
        <f ca="1">+$C$15+$C$16*F18-15018.5-$C$5/24</f>
        <v>45342.568941283054</v>
      </c>
    </row>
    <row r="20" spans="1:18" s="49" customFormat="1" ht="12.95" customHeight="1" thickBot="1" x14ac:dyDescent="0.25">
      <c r="A20" s="62" t="s">
        <v>6</v>
      </c>
      <c r="B20" s="62" t="s">
        <v>7</v>
      </c>
      <c r="C20" s="62" t="s">
        <v>8</v>
      </c>
      <c r="D20" s="62" t="s">
        <v>12</v>
      </c>
      <c r="E20" s="62" t="s">
        <v>9</v>
      </c>
      <c r="F20" s="62" t="s">
        <v>10</v>
      </c>
      <c r="G20" s="62" t="s">
        <v>11</v>
      </c>
      <c r="H20" s="70" t="s">
        <v>36</v>
      </c>
      <c r="I20" s="70" t="s">
        <v>44</v>
      </c>
      <c r="J20" s="70" t="s">
        <v>50</v>
      </c>
      <c r="K20" s="70" t="s">
        <v>56</v>
      </c>
      <c r="L20" s="70" t="s">
        <v>24</v>
      </c>
      <c r="M20" s="70" t="s">
        <v>25</v>
      </c>
      <c r="N20" s="70" t="s">
        <v>26</v>
      </c>
      <c r="O20" s="70" t="s">
        <v>22</v>
      </c>
      <c r="P20" s="71" t="s">
        <v>21</v>
      </c>
      <c r="Q20" s="62" t="s">
        <v>14</v>
      </c>
      <c r="R20" s="72" t="s">
        <v>126</v>
      </c>
    </row>
    <row r="21" spans="1:18" s="49" customFormat="1" ht="12.95" customHeight="1" x14ac:dyDescent="0.2">
      <c r="A21" s="73" t="s">
        <v>70</v>
      </c>
      <c r="B21" s="74" t="s">
        <v>46</v>
      </c>
      <c r="C21" s="75">
        <v>38855.506999999998</v>
      </c>
      <c r="D21" s="56"/>
      <c r="E21" s="49">
        <f>+(C21-C$7)/C$8</f>
        <v>-6907.0175065581079</v>
      </c>
      <c r="F21" s="76">
        <f>ROUND(2*E21,0)/2+0.5</f>
        <v>-6906.5</v>
      </c>
      <c r="G21" s="49">
        <f>+C21-(C$7+F21*C$8)</f>
        <v>-1.0952839999954449</v>
      </c>
      <c r="Q21" s="77">
        <f>+C21-15018.5</f>
        <v>23837.006999999998</v>
      </c>
      <c r="R21" s="49">
        <f>+G21</f>
        <v>-1.0952839999954449</v>
      </c>
    </row>
    <row r="22" spans="1:18" s="49" customFormat="1" ht="12.95" customHeight="1" x14ac:dyDescent="0.2">
      <c r="A22" s="58" t="s">
        <v>40</v>
      </c>
      <c r="B22" s="50"/>
      <c r="C22" s="56">
        <v>38906.35</v>
      </c>
      <c r="D22" s="56" t="s">
        <v>13</v>
      </c>
      <c r="E22" s="49">
        <f>+(C22-C$7)/C$8</f>
        <v>-6882.9948914793722</v>
      </c>
      <c r="F22" s="49">
        <f>ROUND(2*E22,0)/2</f>
        <v>-6883</v>
      </c>
      <c r="G22" s="49">
        <f>+C22-(C$7+F22*C$8)</f>
        <v>1.0812000000441913E-2</v>
      </c>
      <c r="H22" s="49">
        <f>+G22</f>
        <v>1.0812000000441913E-2</v>
      </c>
      <c r="Q22" s="77">
        <f>+C22-15018.5</f>
        <v>23887.85</v>
      </c>
    </row>
    <row r="23" spans="1:18" s="49" customFormat="1" ht="12.95" customHeight="1" x14ac:dyDescent="0.2">
      <c r="A23" s="73" t="s">
        <v>70</v>
      </c>
      <c r="B23" s="74" t="s">
        <v>46</v>
      </c>
      <c r="C23" s="75">
        <v>38906.355000000003</v>
      </c>
      <c r="D23" s="56"/>
      <c r="E23" s="49">
        <f>+(C23-C$7)/C$8</f>
        <v>-6882.992529048448</v>
      </c>
      <c r="F23" s="49">
        <f>ROUND(2*E23,0)/2</f>
        <v>-6883</v>
      </c>
      <c r="G23" s="49">
        <f>+C23-(C$7+F23*C$8)</f>
        <v>1.5812000005098525E-2</v>
      </c>
      <c r="L23" s="49">
        <f>+G23</f>
        <v>1.5812000005098525E-2</v>
      </c>
      <c r="Q23" s="77">
        <f>+C23-15018.5</f>
        <v>23887.855000000003</v>
      </c>
    </row>
    <row r="24" spans="1:18" s="49" customFormat="1" ht="12.95" customHeight="1" x14ac:dyDescent="0.2">
      <c r="A24" s="73" t="s">
        <v>70</v>
      </c>
      <c r="B24" s="74" t="s">
        <v>46</v>
      </c>
      <c r="C24" s="75">
        <v>38940.264999999999</v>
      </c>
      <c r="D24" s="56"/>
      <c r="E24" s="49">
        <f>+(C24-C$7)/C$8</f>
        <v>-6866.9705225319203</v>
      </c>
      <c r="F24" s="49">
        <f>ROUND(2*E24,0)/2</f>
        <v>-6867</v>
      </c>
      <c r="G24" s="49">
        <f>+C24-(C$7+F24*C$8)</f>
        <v>6.2388000005739741E-2</v>
      </c>
      <c r="L24" s="49">
        <f>+G24</f>
        <v>6.2388000005739741E-2</v>
      </c>
      <c r="Q24" s="77">
        <f>+C24-15018.5</f>
        <v>23921.764999999999</v>
      </c>
    </row>
    <row r="25" spans="1:18" s="49" customFormat="1" ht="12.95" customHeight="1" x14ac:dyDescent="0.2">
      <c r="A25" s="73" t="s">
        <v>70</v>
      </c>
      <c r="B25" s="74" t="s">
        <v>46</v>
      </c>
      <c r="C25" s="75">
        <v>39270.353000000003</v>
      </c>
      <c r="D25" s="56"/>
      <c r="E25" s="49">
        <f>+(C25-C$7)/C$8</f>
        <v>-6711.0085028613739</v>
      </c>
      <c r="F25" s="49">
        <f>ROUND(2*E25,0)/2</f>
        <v>-6711</v>
      </c>
      <c r="G25" s="49">
        <f>+C25-(C$7+F25*C$8)</f>
        <v>-1.7995999995036982E-2</v>
      </c>
      <c r="L25" s="49">
        <f>+G25</f>
        <v>-1.7995999995036982E-2</v>
      </c>
      <c r="Q25" s="77">
        <f>+C25-15018.5</f>
        <v>24251.853000000003</v>
      </c>
    </row>
    <row r="26" spans="1:18" s="49" customFormat="1" ht="12.95" customHeight="1" x14ac:dyDescent="0.2">
      <c r="A26" s="73" t="s">
        <v>70</v>
      </c>
      <c r="B26" s="74" t="s">
        <v>46</v>
      </c>
      <c r="C26" s="75">
        <v>39287.307000000001</v>
      </c>
      <c r="D26" s="56"/>
      <c r="E26" s="49">
        <f>+(C26-C$7)/C$8</f>
        <v>-6702.9979720892943</v>
      </c>
      <c r="F26" s="49">
        <f>ROUND(2*E26,0)/2</f>
        <v>-6703</v>
      </c>
      <c r="G26" s="49">
        <f>+C26-(C$7+F26*C$8)</f>
        <v>4.292000005079899E-3</v>
      </c>
      <c r="L26" s="49">
        <f>+G26</f>
        <v>4.292000005079899E-3</v>
      </c>
      <c r="Q26" s="77">
        <f>+C26-15018.5</f>
        <v>24268.807000000001</v>
      </c>
    </row>
    <row r="27" spans="1:18" s="49" customFormat="1" ht="12.95" customHeight="1" x14ac:dyDescent="0.2">
      <c r="A27" s="73" t="s">
        <v>70</v>
      </c>
      <c r="B27" s="74" t="s">
        <v>46</v>
      </c>
      <c r="C27" s="75">
        <v>41755.182000000001</v>
      </c>
      <c r="D27" s="56"/>
      <c r="E27" s="49">
        <f>+(C27-C$7)/C$8</f>
        <v>-5536.9611295065715</v>
      </c>
      <c r="F27" s="49">
        <f>ROUND(2*E27,0)/2</f>
        <v>-5537</v>
      </c>
      <c r="G27" s="49">
        <f>+C27-(C$7+F27*C$8)</f>
        <v>8.2268000005569775E-2</v>
      </c>
      <c r="L27" s="49">
        <f>+G27</f>
        <v>8.2268000005569775E-2</v>
      </c>
      <c r="Q27" s="77">
        <f>+C27-15018.5</f>
        <v>26736.682000000001</v>
      </c>
    </row>
    <row r="28" spans="1:18" s="49" customFormat="1" ht="12.95" customHeight="1" x14ac:dyDescent="0.2">
      <c r="A28" s="73" t="s">
        <v>70</v>
      </c>
      <c r="B28" s="74" t="s">
        <v>46</v>
      </c>
      <c r="C28" s="75">
        <v>42136.11</v>
      </c>
      <c r="D28" s="56"/>
      <c r="E28" s="49">
        <f>+(C28-C$7)/C$8</f>
        <v>-5356.9779122158452</v>
      </c>
      <c r="F28" s="49">
        <f>ROUND(2*E28,0)/2</f>
        <v>-5357</v>
      </c>
      <c r="G28" s="49">
        <f>+C28-(C$7+F28*C$8)</f>
        <v>4.6748000000661705E-2</v>
      </c>
      <c r="L28" s="49">
        <f>+G28</f>
        <v>4.6748000000661705E-2</v>
      </c>
      <c r="Q28" s="77">
        <f>+C28-15018.5</f>
        <v>27117.61</v>
      </c>
    </row>
    <row r="29" spans="1:18" s="49" customFormat="1" ht="12.95" customHeight="1" x14ac:dyDescent="0.2">
      <c r="A29" s="73" t="s">
        <v>94</v>
      </c>
      <c r="B29" s="74" t="s">
        <v>46</v>
      </c>
      <c r="C29" s="75">
        <v>42927.408000000003</v>
      </c>
      <c r="D29" s="56"/>
      <c r="E29" s="49">
        <f>+(C29-C$7)/C$8</f>
        <v>-4983.100539390226</v>
      </c>
      <c r="F29" s="49">
        <f>ROUND(2*E29,0)/2</f>
        <v>-4983</v>
      </c>
      <c r="G29" s="49">
        <f>+C29-(C$7+F29*C$8)</f>
        <v>-0.21278799999709008</v>
      </c>
      <c r="Q29" s="77">
        <f>+C29-15018.5</f>
        <v>27908.908000000003</v>
      </c>
    </row>
    <row r="30" spans="1:18" s="49" customFormat="1" ht="12.95" customHeight="1" x14ac:dyDescent="0.2">
      <c r="A30" s="58" t="s">
        <v>44</v>
      </c>
      <c r="B30" s="50"/>
      <c r="C30" s="56">
        <v>52500.389900000002</v>
      </c>
      <c r="E30" s="49">
        <f>+(C30-C$7)/C$8</f>
        <v>-459.99884713370801</v>
      </c>
      <c r="F30" s="49">
        <f>ROUND(2*E30,0)/2</f>
        <v>-460</v>
      </c>
      <c r="G30" s="49">
        <f>+C30-(C$7+F30*C$8)</f>
        <v>2.4400000038440339E-3</v>
      </c>
      <c r="I30" s="49">
        <f>+G30</f>
        <v>2.4400000038440339E-3</v>
      </c>
      <c r="Q30" s="77">
        <f>+C30-15018.5</f>
        <v>37481.889900000002</v>
      </c>
      <c r="R30" s="49">
        <f>+G29</f>
        <v>-0.21278799999709008</v>
      </c>
    </row>
    <row r="31" spans="1:18" s="49" customFormat="1" ht="12.95" customHeight="1" x14ac:dyDescent="0.2">
      <c r="A31" s="32" t="s">
        <v>45</v>
      </c>
      <c r="B31" s="33" t="s">
        <v>46</v>
      </c>
      <c r="C31" s="32">
        <v>53447.59</v>
      </c>
      <c r="D31" s="32">
        <v>8.0000000000000002E-3</v>
      </c>
      <c r="E31" s="49">
        <f>+(C31-C$7)/C$8</f>
        <v>-12.45988592293642</v>
      </c>
      <c r="F31" s="49">
        <f>ROUND(2*E31,0)/2</f>
        <v>-12.5</v>
      </c>
      <c r="G31" s="49">
        <f>+C31-(C$7+F31*C$8)</f>
        <v>8.4900000001653098E-2</v>
      </c>
      <c r="K31" s="49">
        <f>+G31</f>
        <v>8.4900000001653098E-2</v>
      </c>
      <c r="Q31" s="77">
        <f>+C31-15018.5</f>
        <v>38429.089999999997</v>
      </c>
    </row>
    <row r="32" spans="1:18" s="49" customFormat="1" ht="12.95" customHeight="1" x14ac:dyDescent="0.2">
      <c r="A32" s="49" t="str">
        <f>$D$7</f>
        <v>VSX</v>
      </c>
      <c r="B32" s="50"/>
      <c r="C32" s="56">
        <f>$C$7</f>
        <v>53473.960899999998</v>
      </c>
      <c r="D32" s="56"/>
      <c r="E32" s="49">
        <f>+(C32-C$7)/C$8</f>
        <v>0</v>
      </c>
      <c r="F32" s="49">
        <f>ROUND(2*E32,0)/2</f>
        <v>0</v>
      </c>
      <c r="G32" s="49">
        <f>+C32-(C$7+F32*C$8)</f>
        <v>0</v>
      </c>
      <c r="K32" s="49">
        <f>+G32</f>
        <v>0</v>
      </c>
      <c r="O32" s="49">
        <f ca="1">+C$11+C$12*$F32</f>
        <v>2.3022133512306489E-2</v>
      </c>
      <c r="Q32" s="77">
        <f>+C32-15018.5</f>
        <v>38455.460899999998</v>
      </c>
    </row>
    <row r="33" spans="1:17" s="49" customFormat="1" ht="12.95" customHeight="1" x14ac:dyDescent="0.2">
      <c r="A33" s="73" t="s">
        <v>112</v>
      </c>
      <c r="B33" s="74" t="s">
        <v>53</v>
      </c>
      <c r="C33" s="75">
        <v>54568.1351</v>
      </c>
      <c r="D33" s="56"/>
      <c r="E33" s="49">
        <f>+(C33-C$7)/C$8</f>
        <v>516.98219294067894</v>
      </c>
      <c r="F33" s="49">
        <f>ROUND(2*E33,0)/2</f>
        <v>517</v>
      </c>
      <c r="G33" s="49">
        <f>+C33-(C$7+F33*C$8)</f>
        <v>-3.7687999996705912E-2</v>
      </c>
      <c r="L33" s="49">
        <f>+G33</f>
        <v>-3.7687999996705912E-2</v>
      </c>
      <c r="O33" s="49">
        <f ca="1">+C$11+C$12*$F33</f>
        <v>-2.2206657212962701E-2</v>
      </c>
      <c r="Q33" s="77">
        <f>+C33-15018.5</f>
        <v>39549.6351</v>
      </c>
    </row>
    <row r="34" spans="1:17" s="49" customFormat="1" ht="12.95" customHeight="1" x14ac:dyDescent="0.2">
      <c r="A34" s="32" t="s">
        <v>48</v>
      </c>
      <c r="B34" s="33" t="s">
        <v>46</v>
      </c>
      <c r="C34" s="32">
        <v>55653.851699999999</v>
      </c>
      <c r="D34" s="32">
        <v>2.0000000000000001E-4</v>
      </c>
      <c r="E34" s="49">
        <f>+(C34-C$7)/C$8</f>
        <v>1029.9682867272966</v>
      </c>
      <c r="F34" s="49">
        <f>ROUND(2*E34,0)/2</f>
        <v>1030</v>
      </c>
      <c r="G34" s="49">
        <f>+C34-(C$7+F34*C$8)</f>
        <v>-6.7119999999704305E-2</v>
      </c>
      <c r="K34" s="49">
        <f>+G34</f>
        <v>-6.7119999999704305E-2</v>
      </c>
      <c r="O34" s="49">
        <f ca="1">+C$11+C$12*$F34</f>
        <v>-6.7085515321401959E-2</v>
      </c>
      <c r="Q34" s="77">
        <f>+C34-15018.5</f>
        <v>40635.351699999999</v>
      </c>
    </row>
    <row r="35" spans="1:17" s="49" customFormat="1" ht="12.95" customHeight="1" x14ac:dyDescent="0.2">
      <c r="A35" s="32" t="s">
        <v>49</v>
      </c>
      <c r="B35" s="33" t="s">
        <v>46</v>
      </c>
      <c r="C35" s="32">
        <v>56036.913699999997</v>
      </c>
      <c r="D35" s="32">
        <v>5.9999999999999995E-4</v>
      </c>
      <c r="E35" s="49">
        <f>+(C35-C$7)/C$8</f>
        <v>1210.9597895357535</v>
      </c>
      <c r="F35" s="49">
        <f>ROUND(2*E35,0)/2</f>
        <v>1211</v>
      </c>
      <c r="G35" s="49">
        <f>+C35-(C$7+F35*C$8)</f>
        <v>-8.5103999997954816E-2</v>
      </c>
      <c r="K35" s="49">
        <f>+G35</f>
        <v>-8.5103999997954816E-2</v>
      </c>
      <c r="O35" s="49">
        <f ca="1">+C$11+C$12*$F35</f>
        <v>-8.2919966232956555E-2</v>
      </c>
      <c r="Q35" s="77">
        <f>+C35-15018.5</f>
        <v>41018.413699999997</v>
      </c>
    </row>
    <row r="36" spans="1:17" s="49" customFormat="1" ht="12.95" customHeight="1" x14ac:dyDescent="0.2">
      <c r="A36" s="78" t="s">
        <v>52</v>
      </c>
      <c r="B36" s="79" t="s">
        <v>46</v>
      </c>
      <c r="C36" s="80">
        <v>56058.079940000003</v>
      </c>
      <c r="D36" s="80">
        <v>1.0000000000000001E-5</v>
      </c>
      <c r="E36" s="49">
        <f>+(C36-C$7)/C$8</f>
        <v>1220.9605455136516</v>
      </c>
      <c r="F36" s="49">
        <f>ROUND(2*E36,0)/2</f>
        <v>1221</v>
      </c>
      <c r="G36" s="49">
        <f>+C36-(C$7+F36*C$8)</f>
        <v>-8.350399999471847E-2</v>
      </c>
      <c r="K36" s="49">
        <f>+G36</f>
        <v>-8.350399999471847E-2</v>
      </c>
      <c r="O36" s="49">
        <f ca="1">+C$11+C$12*$F36</f>
        <v>-8.379479777503139E-2</v>
      </c>
      <c r="Q36" s="77">
        <f>+C36-15018.5</f>
        <v>41039.579940000003</v>
      </c>
    </row>
    <row r="37" spans="1:17" s="49" customFormat="1" ht="12.95" customHeight="1" x14ac:dyDescent="0.2">
      <c r="A37" s="32" t="s">
        <v>49</v>
      </c>
      <c r="B37" s="33" t="s">
        <v>46</v>
      </c>
      <c r="C37" s="32">
        <v>56087.711199999998</v>
      </c>
      <c r="D37" s="32">
        <v>1.1999999999999999E-3</v>
      </c>
      <c r="E37" s="49">
        <f>+(C37-C$7)/C$8</f>
        <v>1234.9609064930939</v>
      </c>
      <c r="F37" s="49">
        <f>ROUND(2*E37,0)/2</f>
        <v>1235</v>
      </c>
      <c r="G37" s="49">
        <f>+C37-(C$7+F37*C$8)</f>
        <v>-8.2739999998011626E-2</v>
      </c>
      <c r="K37" s="49">
        <f>+G37</f>
        <v>-8.2739999998011626E-2</v>
      </c>
      <c r="O37" s="49">
        <f ca="1">+C$11+C$12*$F37</f>
        <v>-8.5019561933936158E-2</v>
      </c>
      <c r="Q37" s="77">
        <f>+C37-15018.5</f>
        <v>41069.211199999998</v>
      </c>
    </row>
    <row r="38" spans="1:17" s="49" customFormat="1" ht="12.95" customHeight="1" x14ac:dyDescent="0.2">
      <c r="A38" s="78" t="s">
        <v>52</v>
      </c>
      <c r="B38" s="79" t="s">
        <v>53</v>
      </c>
      <c r="C38" s="80">
        <v>56421.03787</v>
      </c>
      <c r="D38" s="80">
        <v>9.0000000000000006E-5</v>
      </c>
      <c r="E38" s="49">
        <f>+(C38-C$7)/C$8</f>
        <v>1392.4531529948072</v>
      </c>
      <c r="F38" s="49">
        <f>ROUND(2*E38,0)/2</f>
        <v>1392.5</v>
      </c>
      <c r="G38" s="49">
        <f>+C38-(C$7+F38*C$8)</f>
        <v>-9.9149999994551763E-2</v>
      </c>
      <c r="K38" s="49">
        <f>+G38</f>
        <v>-9.9149999994551763E-2</v>
      </c>
      <c r="O38" s="49">
        <f ca="1">+C$11+C$12*$F38</f>
        <v>-9.8798158721614876E-2</v>
      </c>
      <c r="Q38" s="77">
        <f>+C38-15018.5</f>
        <v>41402.53787</v>
      </c>
    </row>
    <row r="39" spans="1:17" s="49" customFormat="1" ht="12.95" customHeight="1" x14ac:dyDescent="0.2">
      <c r="B39" s="50"/>
      <c r="C39" s="56"/>
      <c r="D39" s="56"/>
    </row>
    <row r="40" spans="1:17" s="49" customFormat="1" ht="12.95" customHeight="1" x14ac:dyDescent="0.2">
      <c r="B40" s="50"/>
      <c r="C40" s="56"/>
      <c r="D40" s="56"/>
    </row>
    <row r="41" spans="1:17" s="49" customFormat="1" ht="12.95" customHeight="1" x14ac:dyDescent="0.2">
      <c r="B41" s="50"/>
      <c r="C41" s="56"/>
      <c r="D41" s="56"/>
    </row>
    <row r="42" spans="1:17" s="49" customFormat="1" ht="12.95" customHeight="1" x14ac:dyDescent="0.2">
      <c r="B42" s="50"/>
      <c r="C42" s="56"/>
      <c r="D42" s="56"/>
    </row>
    <row r="43" spans="1:17" s="49" customFormat="1" ht="12.95" customHeight="1" x14ac:dyDescent="0.2">
      <c r="B43" s="50"/>
      <c r="C43" s="56"/>
      <c r="D43" s="56"/>
    </row>
    <row r="44" spans="1:17" s="49" customFormat="1" ht="12.95" customHeight="1" x14ac:dyDescent="0.2">
      <c r="C44" s="56"/>
      <c r="D44" s="56"/>
    </row>
    <row r="45" spans="1:17" s="49" customFormat="1" ht="12.95" customHeight="1" x14ac:dyDescent="0.2">
      <c r="C45" s="56"/>
      <c r="D45" s="56"/>
    </row>
    <row r="46" spans="1:17" s="49" customFormat="1" ht="12.95" customHeight="1" x14ac:dyDescent="0.2">
      <c r="C46" s="56"/>
      <c r="D46" s="56"/>
    </row>
    <row r="47" spans="1:17" s="49" customFormat="1" ht="12.95" customHeight="1" x14ac:dyDescent="0.2">
      <c r="C47" s="56"/>
      <c r="D47" s="56"/>
    </row>
    <row r="48" spans="1:17" s="49" customFormat="1" ht="12.95" customHeight="1" x14ac:dyDescent="0.2">
      <c r="C48" s="56"/>
      <c r="D48" s="56"/>
    </row>
    <row r="49" spans="3:4" s="49" customFormat="1" ht="12.95" customHeight="1" x14ac:dyDescent="0.2">
      <c r="C49" s="56"/>
      <c r="D49" s="56"/>
    </row>
    <row r="50" spans="3:4" s="49" customFormat="1" ht="12.95" customHeight="1" x14ac:dyDescent="0.2">
      <c r="C50" s="56"/>
      <c r="D50" s="56"/>
    </row>
    <row r="51" spans="3:4" s="49" customFormat="1" ht="12.95" customHeight="1" x14ac:dyDescent="0.2">
      <c r="C51" s="56"/>
      <c r="D51" s="56"/>
    </row>
    <row r="52" spans="3:4" s="49" customFormat="1" ht="12.95" customHeight="1" x14ac:dyDescent="0.2">
      <c r="C52" s="56"/>
      <c r="D52" s="56"/>
    </row>
    <row r="53" spans="3:4" s="49" customFormat="1" ht="12.95" customHeight="1" x14ac:dyDescent="0.2">
      <c r="C53" s="56"/>
      <c r="D53" s="56"/>
    </row>
    <row r="54" spans="3:4" s="49" customFormat="1" ht="12.95" customHeight="1" x14ac:dyDescent="0.2">
      <c r="C54" s="56"/>
      <c r="D54" s="56"/>
    </row>
    <row r="55" spans="3:4" s="49" customFormat="1" ht="12.95" customHeight="1" x14ac:dyDescent="0.2">
      <c r="C55" s="56"/>
      <c r="D55" s="56"/>
    </row>
    <row r="56" spans="3:4" s="49" customFormat="1" ht="12.95" customHeight="1" x14ac:dyDescent="0.2">
      <c r="C56" s="56"/>
      <c r="D56" s="56"/>
    </row>
    <row r="57" spans="3:4" s="49" customFormat="1" ht="12.95" customHeight="1" x14ac:dyDescent="0.2">
      <c r="C57" s="56"/>
      <c r="D57" s="56"/>
    </row>
    <row r="58" spans="3:4" s="49" customFormat="1" ht="12.95" customHeight="1" x14ac:dyDescent="0.2">
      <c r="C58" s="56"/>
      <c r="D58" s="56"/>
    </row>
    <row r="59" spans="3:4" s="49" customFormat="1" ht="12.95" customHeight="1" x14ac:dyDescent="0.2">
      <c r="C59" s="56"/>
      <c r="D59" s="56"/>
    </row>
    <row r="60" spans="3:4" s="49" customFormat="1" ht="12.95" customHeight="1" x14ac:dyDescent="0.2">
      <c r="C60" s="56"/>
      <c r="D60" s="56"/>
    </row>
    <row r="61" spans="3:4" s="49" customFormat="1" ht="12.95" customHeight="1" x14ac:dyDescent="0.2">
      <c r="C61" s="56"/>
      <c r="D61" s="56"/>
    </row>
    <row r="62" spans="3:4" s="49" customFormat="1" ht="12.95" customHeight="1" x14ac:dyDescent="0.2">
      <c r="C62" s="56"/>
      <c r="D62" s="56"/>
    </row>
    <row r="63" spans="3:4" s="49" customFormat="1" ht="12.95" customHeight="1" x14ac:dyDescent="0.2">
      <c r="C63" s="56"/>
      <c r="D63" s="56"/>
    </row>
    <row r="64" spans="3:4" s="49" customFormat="1" ht="12.95" customHeight="1" x14ac:dyDescent="0.2">
      <c r="C64" s="56"/>
      <c r="D64" s="56"/>
    </row>
    <row r="65" spans="3:4" s="49" customFormat="1" ht="12.95" customHeight="1" x14ac:dyDescent="0.2">
      <c r="C65" s="56"/>
      <c r="D65" s="56"/>
    </row>
    <row r="66" spans="3:4" s="49" customFormat="1" ht="12.95" customHeight="1" x14ac:dyDescent="0.2">
      <c r="C66" s="56"/>
      <c r="D66" s="56"/>
    </row>
    <row r="67" spans="3:4" s="49" customFormat="1" ht="12.95" customHeight="1" x14ac:dyDescent="0.2">
      <c r="C67" s="56"/>
      <c r="D67" s="56"/>
    </row>
    <row r="68" spans="3:4" s="49" customFormat="1" ht="12.95" customHeight="1" x14ac:dyDescent="0.2">
      <c r="C68" s="56"/>
      <c r="D68" s="56"/>
    </row>
    <row r="69" spans="3:4" s="49" customFormat="1" ht="12.95" customHeight="1" x14ac:dyDescent="0.2">
      <c r="C69" s="56"/>
      <c r="D69" s="56"/>
    </row>
    <row r="70" spans="3:4" s="49" customFormat="1" ht="12.95" customHeight="1" x14ac:dyDescent="0.2">
      <c r="C70" s="56"/>
      <c r="D70" s="56"/>
    </row>
    <row r="71" spans="3:4" s="49" customFormat="1" ht="12.95" customHeight="1" x14ac:dyDescent="0.2">
      <c r="C71" s="56"/>
      <c r="D71" s="56"/>
    </row>
    <row r="72" spans="3:4" s="49" customFormat="1" ht="12.95" customHeight="1" x14ac:dyDescent="0.2">
      <c r="C72" s="56"/>
      <c r="D72" s="56"/>
    </row>
    <row r="73" spans="3:4" s="49" customFormat="1" ht="12.95" customHeight="1" x14ac:dyDescent="0.2">
      <c r="C73" s="56"/>
      <c r="D73" s="56"/>
    </row>
    <row r="74" spans="3:4" s="49" customFormat="1" ht="12.95" customHeight="1" x14ac:dyDescent="0.2">
      <c r="C74" s="56"/>
      <c r="D74" s="56"/>
    </row>
    <row r="75" spans="3:4" s="49" customFormat="1" ht="12.95" customHeight="1" x14ac:dyDescent="0.2">
      <c r="C75" s="56"/>
      <c r="D75" s="56"/>
    </row>
    <row r="76" spans="3:4" s="49" customFormat="1" ht="12.95" customHeight="1" x14ac:dyDescent="0.2">
      <c r="C76" s="56"/>
      <c r="D76" s="56"/>
    </row>
    <row r="77" spans="3:4" s="49" customFormat="1" ht="12.95" customHeight="1" x14ac:dyDescent="0.2">
      <c r="C77" s="56"/>
      <c r="D77" s="56"/>
    </row>
    <row r="78" spans="3:4" s="49" customFormat="1" ht="12.95" customHeight="1" x14ac:dyDescent="0.2">
      <c r="C78" s="56"/>
      <c r="D78" s="56"/>
    </row>
    <row r="79" spans="3:4" s="49" customFormat="1" ht="12.95" customHeight="1" x14ac:dyDescent="0.2">
      <c r="C79" s="56"/>
      <c r="D79" s="56"/>
    </row>
    <row r="80" spans="3:4" s="49" customFormat="1" ht="12.95" customHeight="1" x14ac:dyDescent="0.2">
      <c r="C80" s="56"/>
      <c r="D80" s="56"/>
    </row>
    <row r="81" spans="3:4" s="49" customFormat="1" ht="12.95" customHeight="1" x14ac:dyDescent="0.2">
      <c r="C81" s="56"/>
      <c r="D81" s="56"/>
    </row>
    <row r="82" spans="3:4" s="49" customFormat="1" ht="12.95" customHeight="1" x14ac:dyDescent="0.2">
      <c r="C82" s="56"/>
      <c r="D82" s="56"/>
    </row>
    <row r="83" spans="3:4" s="49" customFormat="1" ht="12.95" customHeight="1" x14ac:dyDescent="0.2">
      <c r="C83" s="56"/>
      <c r="D83" s="56"/>
    </row>
    <row r="84" spans="3:4" s="49" customFormat="1" ht="12.95" customHeight="1" x14ac:dyDescent="0.2">
      <c r="C84" s="56"/>
      <c r="D84" s="56"/>
    </row>
    <row r="85" spans="3:4" s="49" customFormat="1" ht="12.95" customHeight="1" x14ac:dyDescent="0.2">
      <c r="C85" s="56"/>
      <c r="D85" s="56"/>
    </row>
    <row r="86" spans="3:4" s="49" customFormat="1" ht="12.95" customHeight="1" x14ac:dyDescent="0.2">
      <c r="C86" s="56"/>
      <c r="D86" s="56"/>
    </row>
    <row r="87" spans="3:4" s="49" customFormat="1" ht="12.95" customHeight="1" x14ac:dyDescent="0.2">
      <c r="C87" s="56"/>
      <c r="D87" s="56"/>
    </row>
    <row r="88" spans="3:4" s="49" customFormat="1" ht="12.95" customHeight="1" x14ac:dyDescent="0.2">
      <c r="C88" s="56"/>
      <c r="D88" s="56"/>
    </row>
    <row r="89" spans="3:4" s="49" customFormat="1" ht="12.95" customHeight="1" x14ac:dyDescent="0.2">
      <c r="C89" s="56"/>
      <c r="D89" s="56"/>
    </row>
    <row r="90" spans="3:4" s="49" customFormat="1" ht="12.95" customHeight="1" x14ac:dyDescent="0.2">
      <c r="C90" s="56"/>
      <c r="D90" s="56"/>
    </row>
    <row r="91" spans="3:4" s="49" customFormat="1" ht="12.95" customHeight="1" x14ac:dyDescent="0.2">
      <c r="C91" s="56"/>
      <c r="D91" s="56"/>
    </row>
    <row r="92" spans="3:4" s="49" customFormat="1" ht="12.95" customHeight="1" x14ac:dyDescent="0.2">
      <c r="C92" s="56"/>
      <c r="D92" s="56"/>
    </row>
    <row r="93" spans="3:4" s="49" customFormat="1" ht="12.95" customHeight="1" x14ac:dyDescent="0.2">
      <c r="C93" s="56"/>
      <c r="D93" s="56"/>
    </row>
    <row r="94" spans="3:4" s="49" customFormat="1" ht="12.95" customHeight="1" x14ac:dyDescent="0.2">
      <c r="C94" s="56"/>
      <c r="D94" s="56"/>
    </row>
    <row r="95" spans="3:4" s="49" customFormat="1" ht="12.95" customHeight="1" x14ac:dyDescent="0.2">
      <c r="C95" s="56"/>
      <c r="D95" s="56"/>
    </row>
    <row r="96" spans="3:4" s="49" customFormat="1" ht="12.95" customHeight="1" x14ac:dyDescent="0.2">
      <c r="C96" s="56"/>
      <c r="D96" s="56"/>
    </row>
    <row r="97" spans="3:4" s="49" customFormat="1" ht="12.95" customHeight="1" x14ac:dyDescent="0.2">
      <c r="C97" s="56"/>
      <c r="D97" s="56"/>
    </row>
    <row r="98" spans="3:4" s="49" customFormat="1" ht="12.95" customHeight="1" x14ac:dyDescent="0.2">
      <c r="C98" s="56"/>
      <c r="D98" s="56"/>
    </row>
    <row r="99" spans="3:4" s="49" customFormat="1" ht="12.95" customHeight="1" x14ac:dyDescent="0.2">
      <c r="C99" s="56"/>
      <c r="D99" s="56"/>
    </row>
    <row r="100" spans="3:4" s="49" customFormat="1" ht="12.95" customHeight="1" x14ac:dyDescent="0.2">
      <c r="C100" s="56"/>
      <c r="D100" s="56"/>
    </row>
    <row r="101" spans="3:4" s="49" customFormat="1" ht="12.95" customHeight="1" x14ac:dyDescent="0.2">
      <c r="C101" s="56"/>
      <c r="D101" s="56"/>
    </row>
    <row r="102" spans="3:4" s="49" customFormat="1" ht="12.95" customHeight="1" x14ac:dyDescent="0.2">
      <c r="C102" s="56"/>
      <c r="D102" s="56"/>
    </row>
    <row r="103" spans="3:4" s="49" customFormat="1" ht="12.95" customHeight="1" x14ac:dyDescent="0.2">
      <c r="C103" s="56"/>
      <c r="D103" s="56"/>
    </row>
    <row r="104" spans="3:4" s="49" customFormat="1" ht="12.95" customHeight="1" x14ac:dyDescent="0.2">
      <c r="C104" s="56"/>
      <c r="D104" s="56"/>
    </row>
    <row r="105" spans="3:4" s="49" customFormat="1" ht="12.95" customHeight="1" x14ac:dyDescent="0.2">
      <c r="C105" s="56"/>
      <c r="D105" s="56"/>
    </row>
    <row r="106" spans="3:4" s="49" customFormat="1" ht="12.95" customHeight="1" x14ac:dyDescent="0.2">
      <c r="C106" s="56"/>
      <c r="D106" s="56"/>
    </row>
    <row r="107" spans="3:4" s="49" customFormat="1" ht="12.95" customHeight="1" x14ac:dyDescent="0.2">
      <c r="C107" s="56"/>
      <c r="D107" s="56"/>
    </row>
    <row r="108" spans="3:4" s="49" customFormat="1" ht="12.95" customHeight="1" x14ac:dyDescent="0.2">
      <c r="C108" s="56"/>
      <c r="D108" s="56"/>
    </row>
    <row r="109" spans="3:4" s="49" customFormat="1" ht="12.95" customHeight="1" x14ac:dyDescent="0.2">
      <c r="C109" s="56"/>
      <c r="D109" s="56"/>
    </row>
    <row r="110" spans="3:4" s="49" customFormat="1" ht="12.95" customHeight="1" x14ac:dyDescent="0.2">
      <c r="C110" s="56"/>
      <c r="D110" s="56"/>
    </row>
    <row r="111" spans="3:4" s="49" customFormat="1" ht="12.95" customHeight="1" x14ac:dyDescent="0.2">
      <c r="C111" s="56"/>
      <c r="D111" s="56"/>
    </row>
    <row r="112" spans="3:4" s="49" customFormat="1" ht="12.95" customHeight="1" x14ac:dyDescent="0.2">
      <c r="C112" s="56"/>
      <c r="D112" s="56"/>
    </row>
    <row r="113" spans="3:4" s="49" customFormat="1" ht="12.95" customHeight="1" x14ac:dyDescent="0.2">
      <c r="C113" s="56"/>
      <c r="D113" s="56"/>
    </row>
    <row r="114" spans="3:4" s="49" customFormat="1" ht="12.95" customHeight="1" x14ac:dyDescent="0.2">
      <c r="C114" s="56"/>
      <c r="D114" s="56"/>
    </row>
    <row r="115" spans="3:4" s="49" customFormat="1" ht="12.95" customHeight="1" x14ac:dyDescent="0.2">
      <c r="C115" s="56"/>
      <c r="D115" s="56"/>
    </row>
    <row r="116" spans="3:4" s="49" customFormat="1" ht="12.95" customHeight="1" x14ac:dyDescent="0.2">
      <c r="C116" s="56"/>
      <c r="D116" s="56"/>
    </row>
    <row r="117" spans="3:4" s="49" customFormat="1" ht="12.95" customHeight="1" x14ac:dyDescent="0.2">
      <c r="C117" s="56"/>
      <c r="D117" s="56"/>
    </row>
    <row r="118" spans="3:4" s="49" customFormat="1" ht="12.95" customHeight="1" x14ac:dyDescent="0.2">
      <c r="C118" s="56"/>
      <c r="D118" s="56"/>
    </row>
    <row r="119" spans="3:4" s="49" customFormat="1" ht="12.95" customHeight="1" x14ac:dyDescent="0.2">
      <c r="C119" s="56"/>
      <c r="D119" s="56"/>
    </row>
    <row r="120" spans="3:4" s="49" customFormat="1" ht="12.95" customHeight="1" x14ac:dyDescent="0.2">
      <c r="C120" s="56"/>
      <c r="D120" s="56"/>
    </row>
    <row r="121" spans="3:4" s="49" customFormat="1" ht="12.95" customHeight="1" x14ac:dyDescent="0.2">
      <c r="C121" s="56"/>
      <c r="D121" s="56"/>
    </row>
    <row r="122" spans="3:4" s="49" customFormat="1" ht="12.95" customHeight="1" x14ac:dyDescent="0.2">
      <c r="C122" s="56"/>
      <c r="D122" s="56"/>
    </row>
    <row r="123" spans="3:4" s="49" customFormat="1" ht="12.95" customHeight="1" x14ac:dyDescent="0.2">
      <c r="C123" s="56"/>
      <c r="D123" s="56"/>
    </row>
    <row r="124" spans="3:4" s="49" customFormat="1" ht="12.95" customHeight="1" x14ac:dyDescent="0.2">
      <c r="C124" s="56"/>
      <c r="D124" s="56"/>
    </row>
    <row r="125" spans="3:4" s="49" customFormat="1" ht="12.95" customHeight="1" x14ac:dyDescent="0.2">
      <c r="C125" s="56"/>
      <c r="D125" s="56"/>
    </row>
    <row r="126" spans="3:4" s="49" customFormat="1" ht="12.95" customHeight="1" x14ac:dyDescent="0.2">
      <c r="C126" s="56"/>
      <c r="D126" s="56"/>
    </row>
    <row r="127" spans="3:4" s="49" customFormat="1" ht="12.95" customHeight="1" x14ac:dyDescent="0.2">
      <c r="C127" s="56"/>
      <c r="D127" s="56"/>
    </row>
    <row r="128" spans="3:4" s="49" customFormat="1" ht="12.95" customHeight="1" x14ac:dyDescent="0.2">
      <c r="C128" s="56"/>
      <c r="D128" s="56"/>
    </row>
    <row r="129" spans="3:4" s="49" customFormat="1" ht="12.95" customHeight="1" x14ac:dyDescent="0.2">
      <c r="C129" s="56"/>
      <c r="D129" s="56"/>
    </row>
    <row r="130" spans="3:4" s="49" customFormat="1" ht="12.95" customHeight="1" x14ac:dyDescent="0.2">
      <c r="C130" s="56"/>
      <c r="D130" s="56"/>
    </row>
    <row r="131" spans="3:4" s="49" customFormat="1" ht="12.95" customHeight="1" x14ac:dyDescent="0.2">
      <c r="C131" s="56"/>
      <c r="D131" s="56"/>
    </row>
    <row r="132" spans="3:4" s="49" customFormat="1" ht="12.95" customHeight="1" x14ac:dyDescent="0.2">
      <c r="C132" s="56"/>
      <c r="D132" s="56"/>
    </row>
    <row r="133" spans="3:4" s="49" customFormat="1" ht="12.95" customHeight="1" x14ac:dyDescent="0.2">
      <c r="C133" s="56"/>
      <c r="D133" s="56"/>
    </row>
    <row r="134" spans="3:4" s="49" customFormat="1" ht="12.95" customHeight="1" x14ac:dyDescent="0.2">
      <c r="C134" s="56"/>
      <c r="D134" s="56"/>
    </row>
    <row r="135" spans="3:4" s="49" customFormat="1" ht="12.95" customHeight="1" x14ac:dyDescent="0.2">
      <c r="C135" s="56"/>
      <c r="D135" s="56"/>
    </row>
    <row r="136" spans="3:4" s="49" customFormat="1" ht="12.95" customHeight="1" x14ac:dyDescent="0.2">
      <c r="C136" s="56"/>
      <c r="D136" s="56"/>
    </row>
    <row r="137" spans="3:4" s="49" customFormat="1" ht="12.95" customHeight="1" x14ac:dyDescent="0.2">
      <c r="C137" s="56"/>
      <c r="D137" s="56"/>
    </row>
    <row r="138" spans="3:4" s="49" customFormat="1" ht="12.95" customHeight="1" x14ac:dyDescent="0.2">
      <c r="C138" s="56"/>
      <c r="D138" s="56"/>
    </row>
    <row r="139" spans="3:4" s="49" customFormat="1" ht="12.95" customHeight="1" x14ac:dyDescent="0.2">
      <c r="C139" s="56"/>
      <c r="D139" s="56"/>
    </row>
    <row r="140" spans="3:4" s="49" customFormat="1" ht="12.95" customHeight="1" x14ac:dyDescent="0.2">
      <c r="C140" s="56"/>
      <c r="D140" s="56"/>
    </row>
    <row r="141" spans="3:4" s="49" customFormat="1" ht="12.95" customHeight="1" x14ac:dyDescent="0.2">
      <c r="C141" s="56"/>
      <c r="D141" s="56"/>
    </row>
    <row r="142" spans="3:4" s="49" customFormat="1" ht="12.95" customHeight="1" x14ac:dyDescent="0.2">
      <c r="C142" s="56"/>
      <c r="D142" s="56"/>
    </row>
    <row r="143" spans="3:4" s="49" customFormat="1" ht="12.95" customHeight="1" x14ac:dyDescent="0.2">
      <c r="C143" s="56"/>
      <c r="D143" s="56"/>
    </row>
    <row r="144" spans="3:4" s="49" customFormat="1" ht="12.95" customHeight="1" x14ac:dyDescent="0.2">
      <c r="C144" s="56"/>
      <c r="D144" s="56"/>
    </row>
    <row r="145" spans="3:4" s="49" customFormat="1" ht="12.95" customHeight="1" x14ac:dyDescent="0.2">
      <c r="C145" s="56"/>
      <c r="D145" s="56"/>
    </row>
    <row r="146" spans="3:4" s="49" customFormat="1" ht="12.95" customHeight="1" x14ac:dyDescent="0.2">
      <c r="C146" s="56"/>
      <c r="D146" s="56"/>
    </row>
    <row r="147" spans="3:4" s="49" customFormat="1" ht="12.95" customHeight="1" x14ac:dyDescent="0.2">
      <c r="C147" s="56"/>
      <c r="D147" s="56"/>
    </row>
    <row r="148" spans="3:4" s="49" customFormat="1" ht="12.95" customHeight="1" x14ac:dyDescent="0.2">
      <c r="C148" s="56"/>
      <c r="D148" s="56"/>
    </row>
    <row r="149" spans="3:4" s="49" customFormat="1" ht="12.95" customHeight="1" x14ac:dyDescent="0.2">
      <c r="C149" s="56"/>
      <c r="D149" s="56"/>
    </row>
    <row r="150" spans="3:4" s="49" customFormat="1" ht="12.95" customHeight="1" x14ac:dyDescent="0.2">
      <c r="C150" s="56"/>
      <c r="D150" s="56"/>
    </row>
    <row r="151" spans="3:4" s="49" customFormat="1" ht="12.95" customHeight="1" x14ac:dyDescent="0.2">
      <c r="C151" s="56"/>
      <c r="D151" s="56"/>
    </row>
    <row r="152" spans="3:4" s="49" customFormat="1" ht="12.95" customHeight="1" x14ac:dyDescent="0.2">
      <c r="C152" s="56"/>
      <c r="D152" s="56"/>
    </row>
    <row r="153" spans="3:4" s="49" customFormat="1" ht="12.95" customHeight="1" x14ac:dyDescent="0.2">
      <c r="C153" s="56"/>
      <c r="D153" s="56"/>
    </row>
    <row r="154" spans="3:4" s="49" customFormat="1" ht="12.95" customHeight="1" x14ac:dyDescent="0.2">
      <c r="C154" s="56"/>
      <c r="D154" s="56"/>
    </row>
    <row r="155" spans="3:4" s="49" customFormat="1" ht="12.95" customHeight="1" x14ac:dyDescent="0.2">
      <c r="C155" s="56"/>
      <c r="D155" s="56"/>
    </row>
    <row r="156" spans="3:4" s="49" customFormat="1" ht="12.95" customHeight="1" x14ac:dyDescent="0.2">
      <c r="C156" s="56"/>
      <c r="D156" s="56"/>
    </row>
    <row r="157" spans="3:4" s="49" customFormat="1" ht="12.95" customHeight="1" x14ac:dyDescent="0.2">
      <c r="C157" s="56"/>
      <c r="D157" s="56"/>
    </row>
    <row r="158" spans="3:4" s="49" customFormat="1" ht="12.95" customHeight="1" x14ac:dyDescent="0.2">
      <c r="C158" s="56"/>
      <c r="D158" s="56"/>
    </row>
    <row r="159" spans="3:4" s="49" customFormat="1" ht="12.95" customHeight="1" x14ac:dyDescent="0.2">
      <c r="C159" s="56"/>
      <c r="D159" s="56"/>
    </row>
    <row r="160" spans="3:4" s="49" customFormat="1" ht="12.95" customHeight="1" x14ac:dyDescent="0.2">
      <c r="C160" s="56"/>
      <c r="D160" s="56"/>
    </row>
    <row r="161" spans="3:4" s="49" customFormat="1" ht="12.95" customHeight="1" x14ac:dyDescent="0.2">
      <c r="C161" s="56"/>
      <c r="D161" s="56"/>
    </row>
    <row r="162" spans="3:4" s="49" customFormat="1" ht="12.95" customHeight="1" x14ac:dyDescent="0.2">
      <c r="C162" s="56"/>
      <c r="D162" s="56"/>
    </row>
    <row r="163" spans="3:4" s="49" customFormat="1" ht="12.95" customHeight="1" x14ac:dyDescent="0.2">
      <c r="C163" s="56"/>
      <c r="D163" s="56"/>
    </row>
    <row r="164" spans="3:4" s="49" customFormat="1" ht="12.95" customHeight="1" x14ac:dyDescent="0.2">
      <c r="C164" s="56"/>
      <c r="D164" s="56"/>
    </row>
    <row r="165" spans="3:4" s="49" customFormat="1" ht="12.95" customHeight="1" x14ac:dyDescent="0.2">
      <c r="C165" s="56"/>
      <c r="D165" s="56"/>
    </row>
    <row r="166" spans="3:4" s="49" customFormat="1" ht="12.95" customHeight="1" x14ac:dyDescent="0.2">
      <c r="C166" s="56"/>
      <c r="D166" s="56"/>
    </row>
    <row r="167" spans="3:4" s="49" customFormat="1" ht="12.95" customHeight="1" x14ac:dyDescent="0.2">
      <c r="C167" s="56"/>
      <c r="D167" s="56"/>
    </row>
    <row r="168" spans="3:4" s="49" customFormat="1" ht="12.95" customHeight="1" x14ac:dyDescent="0.2">
      <c r="C168" s="56"/>
      <c r="D168" s="56"/>
    </row>
    <row r="169" spans="3:4" s="49" customFormat="1" ht="12.95" customHeight="1" x14ac:dyDescent="0.2">
      <c r="C169" s="56"/>
      <c r="D169" s="56"/>
    </row>
    <row r="170" spans="3:4" s="49" customFormat="1" ht="12.95" customHeight="1" x14ac:dyDescent="0.2">
      <c r="C170" s="56"/>
      <c r="D170" s="56"/>
    </row>
    <row r="171" spans="3:4" s="49" customFormat="1" ht="12.95" customHeight="1" x14ac:dyDescent="0.2">
      <c r="C171" s="56"/>
      <c r="D171" s="56"/>
    </row>
    <row r="172" spans="3:4" s="49" customFormat="1" ht="12.95" customHeight="1" x14ac:dyDescent="0.2">
      <c r="C172" s="56"/>
      <c r="D172" s="56"/>
    </row>
    <row r="173" spans="3:4" s="49" customFormat="1" ht="12.95" customHeight="1" x14ac:dyDescent="0.2">
      <c r="C173" s="56"/>
      <c r="D173" s="56"/>
    </row>
    <row r="174" spans="3:4" s="49" customFormat="1" ht="12.95" customHeight="1" x14ac:dyDescent="0.2">
      <c r="C174" s="56"/>
      <c r="D174" s="56"/>
    </row>
    <row r="175" spans="3:4" s="49" customFormat="1" ht="12.95" customHeight="1" x14ac:dyDescent="0.2">
      <c r="C175" s="56"/>
      <c r="D175" s="56"/>
    </row>
    <row r="176" spans="3:4" s="49" customFormat="1" ht="12.95" customHeight="1" x14ac:dyDescent="0.2">
      <c r="C176" s="56"/>
      <c r="D176" s="56"/>
    </row>
    <row r="177" spans="3:4" s="49" customFormat="1" ht="12.95" customHeight="1" x14ac:dyDescent="0.2">
      <c r="C177" s="56"/>
      <c r="D177" s="56"/>
    </row>
    <row r="178" spans="3:4" s="49" customFormat="1" ht="12.95" customHeight="1" x14ac:dyDescent="0.2">
      <c r="C178" s="56"/>
      <c r="D178" s="56"/>
    </row>
    <row r="179" spans="3:4" s="49" customFormat="1" ht="12.95" customHeight="1" x14ac:dyDescent="0.2">
      <c r="C179" s="56"/>
      <c r="D179" s="56"/>
    </row>
    <row r="180" spans="3:4" s="49" customFormat="1" ht="12.95" customHeight="1" x14ac:dyDescent="0.2">
      <c r="C180" s="56"/>
      <c r="D180" s="56"/>
    </row>
    <row r="181" spans="3:4" s="49" customFormat="1" ht="12.95" customHeight="1" x14ac:dyDescent="0.2">
      <c r="C181" s="56"/>
      <c r="D181" s="56"/>
    </row>
    <row r="182" spans="3:4" s="49" customFormat="1" ht="12.95" customHeight="1" x14ac:dyDescent="0.2">
      <c r="C182" s="56"/>
      <c r="D182" s="56"/>
    </row>
    <row r="183" spans="3:4" s="49" customFormat="1" ht="12.95" customHeight="1" x14ac:dyDescent="0.2">
      <c r="C183" s="56"/>
      <c r="D183" s="56"/>
    </row>
    <row r="184" spans="3:4" s="49" customFormat="1" ht="12.95" customHeight="1" x14ac:dyDescent="0.2">
      <c r="C184" s="56"/>
      <c r="D184" s="56"/>
    </row>
    <row r="185" spans="3:4" s="49" customFormat="1" ht="12.95" customHeight="1" x14ac:dyDescent="0.2">
      <c r="C185" s="56"/>
      <c r="D185" s="56"/>
    </row>
    <row r="186" spans="3:4" s="49" customFormat="1" ht="12.95" customHeight="1" x14ac:dyDescent="0.2">
      <c r="C186" s="56"/>
      <c r="D186" s="56"/>
    </row>
    <row r="187" spans="3:4" s="49" customFormat="1" ht="12.95" customHeight="1" x14ac:dyDescent="0.2">
      <c r="C187" s="56"/>
      <c r="D187" s="56"/>
    </row>
    <row r="188" spans="3:4" s="49" customFormat="1" ht="12.95" customHeight="1" x14ac:dyDescent="0.2">
      <c r="C188" s="56"/>
      <c r="D188" s="56"/>
    </row>
    <row r="189" spans="3:4" s="49" customFormat="1" ht="12.95" customHeight="1" x14ac:dyDescent="0.2">
      <c r="C189" s="56"/>
      <c r="D189" s="56"/>
    </row>
    <row r="190" spans="3:4" s="49" customFormat="1" ht="12.95" customHeight="1" x14ac:dyDescent="0.2">
      <c r="C190" s="56"/>
      <c r="D190" s="56"/>
    </row>
    <row r="191" spans="3:4" s="49" customFormat="1" ht="12.95" customHeight="1" x14ac:dyDescent="0.2">
      <c r="C191" s="56"/>
      <c r="D191" s="56"/>
    </row>
    <row r="192" spans="3:4" s="49" customFormat="1" ht="12.95" customHeight="1" x14ac:dyDescent="0.2">
      <c r="C192" s="56"/>
      <c r="D192" s="56"/>
    </row>
    <row r="193" spans="3:4" s="49" customFormat="1" ht="12.95" customHeight="1" x14ac:dyDescent="0.2">
      <c r="C193" s="56"/>
      <c r="D193" s="56"/>
    </row>
    <row r="194" spans="3:4" s="49" customFormat="1" ht="12.95" customHeight="1" x14ac:dyDescent="0.2">
      <c r="C194" s="56"/>
      <c r="D194" s="56"/>
    </row>
    <row r="195" spans="3:4" s="49" customFormat="1" ht="12.95" customHeight="1" x14ac:dyDescent="0.2">
      <c r="C195" s="56"/>
      <c r="D195" s="56"/>
    </row>
    <row r="196" spans="3:4" s="49" customFormat="1" ht="12.95" customHeight="1" x14ac:dyDescent="0.2">
      <c r="C196" s="56"/>
      <c r="D196" s="56"/>
    </row>
    <row r="197" spans="3:4" s="49" customFormat="1" ht="12.95" customHeight="1" x14ac:dyDescent="0.2">
      <c r="C197" s="56"/>
      <c r="D197" s="56"/>
    </row>
    <row r="198" spans="3:4" s="49" customFormat="1" ht="12.95" customHeight="1" x14ac:dyDescent="0.2">
      <c r="C198" s="56"/>
      <c r="D198" s="56"/>
    </row>
    <row r="199" spans="3:4" s="49" customFormat="1" ht="12.95" customHeight="1" x14ac:dyDescent="0.2">
      <c r="C199" s="56"/>
      <c r="D199" s="56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sortState xmlns:xlrd2="http://schemas.microsoft.com/office/spreadsheetml/2017/richdata2" ref="A21:S39">
    <sortCondition ref="C21:C39"/>
  </sortState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workbookViewId="0">
      <selection activeCell="C15" sqref="C15:C1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  <c r="E1" s="30" t="s">
        <v>41</v>
      </c>
      <c r="F1" t="s">
        <v>51</v>
      </c>
    </row>
    <row r="2" spans="1:7" x14ac:dyDescent="0.2">
      <c r="A2" t="s">
        <v>23</v>
      </c>
      <c r="B2" t="s">
        <v>43</v>
      </c>
      <c r="C2" s="3"/>
      <c r="D2" s="3"/>
      <c r="E2">
        <v>0</v>
      </c>
    </row>
    <row r="3" spans="1:7" ht="13.5" thickBot="1" x14ac:dyDescent="0.25"/>
    <row r="4" spans="1:7" ht="14.25" thickTop="1" thickBot="1" x14ac:dyDescent="0.25">
      <c r="A4" s="5" t="s">
        <v>0</v>
      </c>
      <c r="C4" s="8">
        <v>38906.35</v>
      </c>
      <c r="D4" s="9">
        <v>1.1304700000000001</v>
      </c>
    </row>
    <row r="6" spans="1:7" x14ac:dyDescent="0.2">
      <c r="A6" s="5" t="s">
        <v>1</v>
      </c>
    </row>
    <row r="7" spans="1:7" x14ac:dyDescent="0.2">
      <c r="A7" t="s">
        <v>2</v>
      </c>
      <c r="C7" s="10">
        <v>52500.389900000002</v>
      </c>
    </row>
    <row r="8" spans="1:7" x14ac:dyDescent="0.2">
      <c r="A8" t="s">
        <v>3</v>
      </c>
      <c r="C8" s="10">
        <v>2.1164608999999999</v>
      </c>
      <c r="D8" s="31" t="s">
        <v>44</v>
      </c>
    </row>
    <row r="9" spans="1:7" x14ac:dyDescent="0.2">
      <c r="A9" s="11" t="s">
        <v>29</v>
      </c>
      <c r="B9" s="12"/>
      <c r="C9" s="13">
        <v>8</v>
      </c>
      <c r="D9" s="12" t="s">
        <v>30</v>
      </c>
      <c r="E9" s="12"/>
    </row>
    <row r="10" spans="1:7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7" x14ac:dyDescent="0.2">
      <c r="A11" s="12" t="s">
        <v>15</v>
      </c>
      <c r="B11" s="12"/>
      <c r="C11" s="24">
        <f ca="1">INTERCEPT(INDIRECT($G$11):G992,INDIRECT($F$11):F992)</f>
        <v>4.3467654447048171E-2</v>
      </c>
      <c r="D11" s="3"/>
      <c r="E11" s="12"/>
      <c r="F11" s="25" t="str">
        <f>"F"&amp;E19</f>
        <v>F22</v>
      </c>
      <c r="G11" s="26" t="str">
        <f>"G"&amp;E19</f>
        <v>G22</v>
      </c>
    </row>
    <row r="12" spans="1:7" x14ac:dyDescent="0.2">
      <c r="A12" s="12" t="s">
        <v>16</v>
      </c>
      <c r="B12" s="12"/>
      <c r="C12" s="24">
        <f ca="1">SLOPE(INDIRECT($G$11):G992,INDIRECT($F$11):F992)</f>
        <v>-7.0305036297674568E-5</v>
      </c>
      <c r="D12" s="3"/>
      <c r="E12" s="12"/>
    </row>
    <row r="13" spans="1:7" x14ac:dyDescent="0.2">
      <c r="A13" s="12" t="s">
        <v>18</v>
      </c>
      <c r="B13" s="12"/>
      <c r="C13" s="3" t="s">
        <v>13</v>
      </c>
      <c r="D13" s="16" t="s">
        <v>38</v>
      </c>
      <c r="E13" s="13">
        <v>1</v>
      </c>
    </row>
    <row r="14" spans="1:7" x14ac:dyDescent="0.2">
      <c r="A14" s="12"/>
      <c r="B14" s="12"/>
      <c r="C14" s="12"/>
      <c r="D14" s="16" t="s">
        <v>31</v>
      </c>
      <c r="E14" s="17">
        <f ca="1">NOW()+15018.5+$C$9/24</f>
        <v>60359.451145254628</v>
      </c>
    </row>
    <row r="15" spans="1:7" x14ac:dyDescent="0.2">
      <c r="A15" s="14" t="s">
        <v>17</v>
      </c>
      <c r="B15" s="12"/>
      <c r="C15" s="15">
        <f ca="1">(C7+C11)+(C8+C12)*INT(MAX(F21:F3533))</f>
        <v>56087.715426117924</v>
      </c>
      <c r="D15" s="16" t="s">
        <v>39</v>
      </c>
      <c r="E15" s="17">
        <f ca="1">ROUND(2*(E14-$C$25)/$C$8,0)/2+E13</f>
        <v>2224.5</v>
      </c>
    </row>
    <row r="16" spans="1:7" x14ac:dyDescent="0.2">
      <c r="A16" s="18" t="s">
        <v>4</v>
      </c>
      <c r="B16" s="12"/>
      <c r="C16" s="19">
        <f ca="1">+C8+C12</f>
        <v>2.1163905949637023</v>
      </c>
      <c r="D16" s="16" t="s">
        <v>32</v>
      </c>
      <c r="E16" s="26">
        <f ca="1">ROUND(2*(E14-$C$15)/$C$16,0)/2+E13</f>
        <v>2019.5</v>
      </c>
    </row>
    <row r="17" spans="1:18" ht="13.5" thickBot="1" x14ac:dyDescent="0.25">
      <c r="A17" s="16" t="s">
        <v>28</v>
      </c>
      <c r="B17" s="12"/>
      <c r="C17" s="12">
        <f>COUNT(C21:C2191)</f>
        <v>7</v>
      </c>
      <c r="D17" s="16" t="s">
        <v>33</v>
      </c>
      <c r="E17" s="20">
        <f ca="1">+$C$15+$C$16*E16-15018.5-$C$9/24</f>
        <v>45342.932899313782</v>
      </c>
    </row>
    <row r="18" spans="1:18" ht="14.25" thickTop="1" thickBot="1" x14ac:dyDescent="0.25">
      <c r="A18" s="18" t="s">
        <v>5</v>
      </c>
      <c r="B18" s="12"/>
      <c r="C18" s="21">
        <f ca="1">+C15</f>
        <v>56087.715426117924</v>
      </c>
      <c r="D18" s="22">
        <f ca="1">+C16</f>
        <v>2.1163905949637023</v>
      </c>
      <c r="E18" s="23" t="s">
        <v>34</v>
      </c>
    </row>
    <row r="19" spans="1:18" ht="13.5" thickTop="1" x14ac:dyDescent="0.2">
      <c r="A19" s="27" t="s">
        <v>35</v>
      </c>
      <c r="E19" s="28">
        <v>22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36</v>
      </c>
      <c r="I20" s="7" t="s">
        <v>44</v>
      </c>
      <c r="J20" s="7" t="s">
        <v>50</v>
      </c>
      <c r="K20" s="7" t="s">
        <v>27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9" t="s">
        <v>37</v>
      </c>
    </row>
    <row r="21" spans="1:18" x14ac:dyDescent="0.2">
      <c r="A21" s="31" t="s">
        <v>40</v>
      </c>
      <c r="C21" s="10">
        <v>38906.35</v>
      </c>
      <c r="D21" s="10" t="s">
        <v>13</v>
      </c>
      <c r="E21">
        <f t="shared" ref="E21:E27" si="0">+(C21-C$7)/C$8</f>
        <v>-6423.0054521678167</v>
      </c>
      <c r="F21">
        <f t="shared" ref="F21:F27" si="1">ROUND(2*E21,0)/2</f>
        <v>-6423</v>
      </c>
      <c r="G21">
        <f>+C21-(C$7+F21*C$8)</f>
        <v>-1.1539300008735154E-2</v>
      </c>
      <c r="H21">
        <f>+G21</f>
        <v>-1.1539300008735154E-2</v>
      </c>
      <c r="O21">
        <f t="shared" ref="O21:O27" ca="1" si="2">+C$11+C$12*$F21</f>
        <v>0.49503690258701194</v>
      </c>
      <c r="Q21" s="2">
        <f t="shared" ref="Q21:Q27" si="3">+C21-15018.5</f>
        <v>23887.85</v>
      </c>
    </row>
    <row r="22" spans="1:18" x14ac:dyDescent="0.2">
      <c r="A22" s="31" t="s">
        <v>44</v>
      </c>
      <c r="C22" s="10">
        <v>52500.389900000002</v>
      </c>
      <c r="E22">
        <f t="shared" si="0"/>
        <v>0</v>
      </c>
      <c r="F22">
        <f t="shared" si="1"/>
        <v>0</v>
      </c>
      <c r="G22">
        <f t="shared" ref="G22:G27" si="4">+C22-(C$7+F22*C$8)</f>
        <v>0</v>
      </c>
      <c r="I22">
        <f>+G22</f>
        <v>0</v>
      </c>
      <c r="O22">
        <f t="shared" ca="1" si="2"/>
        <v>4.3467654447048171E-2</v>
      </c>
      <c r="Q22" s="2">
        <f t="shared" si="3"/>
        <v>37481.889900000002</v>
      </c>
    </row>
    <row r="23" spans="1:18" x14ac:dyDescent="0.2">
      <c r="A23" s="32" t="s">
        <v>45</v>
      </c>
      <c r="B23" s="33" t="s">
        <v>46</v>
      </c>
      <c r="C23" s="32">
        <v>53447.59</v>
      </c>
      <c r="D23" s="32">
        <v>8.0000000000000002E-3</v>
      </c>
      <c r="E23">
        <f t="shared" si="0"/>
        <v>447.53961672525799</v>
      </c>
      <c r="F23">
        <f t="shared" si="1"/>
        <v>447.5</v>
      </c>
      <c r="G23">
        <f t="shared" si="4"/>
        <v>8.3847249996324535E-2</v>
      </c>
      <c r="J23">
        <f>+G23</f>
        <v>8.3847249996324535E-2</v>
      </c>
      <c r="O23">
        <f t="shared" ca="1" si="2"/>
        <v>1.20061507038388E-2</v>
      </c>
      <c r="Q23" s="2">
        <f t="shared" si="3"/>
        <v>38429.089999999997</v>
      </c>
    </row>
    <row r="24" spans="1:18" x14ac:dyDescent="0.2">
      <c r="A24" s="32" t="s">
        <v>47</v>
      </c>
      <c r="B24" s="33" t="s">
        <v>46</v>
      </c>
      <c r="C24" s="32">
        <v>53473.960899999998</v>
      </c>
      <c r="D24" s="32">
        <v>1E-4</v>
      </c>
      <c r="E24">
        <f t="shared" si="0"/>
        <v>459.99952089830543</v>
      </c>
      <c r="F24">
        <f t="shared" si="1"/>
        <v>460</v>
      </c>
      <c r="G24">
        <f t="shared" si="4"/>
        <v>-1.0140000013052486E-3</v>
      </c>
      <c r="K24">
        <f>+G24</f>
        <v>-1.0140000013052486E-3</v>
      </c>
      <c r="O24">
        <f t="shared" ca="1" si="2"/>
        <v>1.1127337750117872E-2</v>
      </c>
      <c r="Q24" s="2">
        <f t="shared" si="3"/>
        <v>38455.460899999998</v>
      </c>
    </row>
    <row r="25" spans="1:18" x14ac:dyDescent="0.2">
      <c r="A25" s="32" t="s">
        <v>48</v>
      </c>
      <c r="B25" s="33" t="s">
        <v>46</v>
      </c>
      <c r="C25" s="32">
        <v>55653.851699999999</v>
      </c>
      <c r="D25" s="32">
        <v>2.0000000000000001E-4</v>
      </c>
      <c r="E25">
        <f t="shared" si="0"/>
        <v>1489.9693162297483</v>
      </c>
      <c r="F25">
        <f t="shared" si="1"/>
        <v>1490</v>
      </c>
      <c r="G25">
        <f t="shared" si="4"/>
        <v>-6.494100000418257E-2</v>
      </c>
      <c r="K25">
        <f>+G25</f>
        <v>-6.494100000418257E-2</v>
      </c>
      <c r="O25">
        <f t="shared" ca="1" si="2"/>
        <v>-6.1286849636486937E-2</v>
      </c>
      <c r="Q25" s="2">
        <f t="shared" si="3"/>
        <v>40635.351699999999</v>
      </c>
    </row>
    <row r="26" spans="1:18" x14ac:dyDescent="0.2">
      <c r="A26" s="34" t="s">
        <v>49</v>
      </c>
      <c r="B26" s="35" t="s">
        <v>46</v>
      </c>
      <c r="C26" s="34">
        <v>56036.913699999997</v>
      </c>
      <c r="D26" s="34">
        <v>5.9999999999999995E-4</v>
      </c>
      <c r="E26">
        <f t="shared" si="0"/>
        <v>1670.9610841381457</v>
      </c>
      <c r="F26">
        <f t="shared" si="1"/>
        <v>1671</v>
      </c>
      <c r="G26">
        <f t="shared" si="4"/>
        <v>-8.2363900008203927E-2</v>
      </c>
      <c r="K26">
        <f>+G26</f>
        <v>-8.2363900008203927E-2</v>
      </c>
      <c r="O26">
        <f t="shared" ca="1" si="2"/>
        <v>-7.4012061206366025E-2</v>
      </c>
      <c r="Q26" s="2">
        <f t="shared" si="3"/>
        <v>41018.413699999997</v>
      </c>
    </row>
    <row r="27" spans="1:18" x14ac:dyDescent="0.2">
      <c r="A27" s="34" t="s">
        <v>49</v>
      </c>
      <c r="B27" s="35" t="s">
        <v>46</v>
      </c>
      <c r="C27" s="34">
        <v>56087.711199999998</v>
      </c>
      <c r="D27" s="34">
        <v>1.1999999999999999E-3</v>
      </c>
      <c r="E27">
        <f t="shared" si="0"/>
        <v>1694.9622362501459</v>
      </c>
      <c r="F27">
        <f t="shared" si="1"/>
        <v>1695</v>
      </c>
      <c r="G27">
        <f t="shared" si="4"/>
        <v>-7.9925500001991168E-2</v>
      </c>
      <c r="K27">
        <f>+G27</f>
        <v>-7.9925500001991168E-2</v>
      </c>
      <c r="O27">
        <f t="shared" ca="1" si="2"/>
        <v>-7.5699382077510216E-2</v>
      </c>
      <c r="Q27" s="2">
        <f t="shared" si="3"/>
        <v>41069.211199999998</v>
      </c>
    </row>
    <row r="28" spans="1:18" x14ac:dyDescent="0.2">
      <c r="C28" s="10"/>
      <c r="D28" s="10"/>
      <c r="Q28" s="2"/>
    </row>
    <row r="29" spans="1:18" x14ac:dyDescent="0.2">
      <c r="C29" s="10"/>
      <c r="D29" s="10"/>
      <c r="Q29" s="2"/>
    </row>
    <row r="30" spans="1:18" x14ac:dyDescent="0.2">
      <c r="C30" s="10"/>
      <c r="D30" s="10"/>
      <c r="Q30" s="2"/>
    </row>
    <row r="31" spans="1:18" x14ac:dyDescent="0.2">
      <c r="C31" s="10"/>
      <c r="D31" s="10"/>
      <c r="Q31" s="2"/>
    </row>
    <row r="32" spans="1:18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sheetProtection sheet="1" objects="1" scenarios="1"/>
  <phoneticPr fontId="7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0"/>
  <sheetViews>
    <sheetView workbookViewId="0">
      <selection activeCell="A16" sqref="A16:C24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6" t="s">
        <v>54</v>
      </c>
      <c r="I1" s="37" t="s">
        <v>55</v>
      </c>
      <c r="J1" s="38" t="s">
        <v>56</v>
      </c>
    </row>
    <row r="2" spans="1:16" x14ac:dyDescent="0.2">
      <c r="I2" s="39" t="s">
        <v>57</v>
      </c>
      <c r="J2" s="40" t="s">
        <v>58</v>
      </c>
    </row>
    <row r="3" spans="1:16" x14ac:dyDescent="0.2">
      <c r="A3" s="41" t="s">
        <v>59</v>
      </c>
      <c r="I3" s="39" t="s">
        <v>60</v>
      </c>
      <c r="J3" s="40" t="s">
        <v>61</v>
      </c>
    </row>
    <row r="4" spans="1:16" x14ac:dyDescent="0.2">
      <c r="I4" s="39" t="s">
        <v>62</v>
      </c>
      <c r="J4" s="40" t="s">
        <v>61</v>
      </c>
    </row>
    <row r="5" spans="1:16" ht="13.5" thickBot="1" x14ac:dyDescent="0.25">
      <c r="I5" s="42" t="s">
        <v>63</v>
      </c>
      <c r="J5" s="43" t="s">
        <v>64</v>
      </c>
    </row>
    <row r="10" spans="1:16" ht="13.5" thickBot="1" x14ac:dyDescent="0.25"/>
    <row r="11" spans="1:16" ht="12.75" customHeight="1" thickBot="1" x14ac:dyDescent="0.25">
      <c r="A11" s="10" t="str">
        <f t="shared" ref="A11:A24" si="0">P11</f>
        <v>OEJV 0003 </v>
      </c>
      <c r="B11" s="3" t="str">
        <f t="shared" ref="B11:B24" si="1">IF(H11=INT(H11),"I","II")</f>
        <v>I</v>
      </c>
      <c r="C11" s="10">
        <f t="shared" ref="C11:C24" si="2">1*G11</f>
        <v>53447.59</v>
      </c>
      <c r="D11" s="12" t="str">
        <f t="shared" ref="D11:D24" si="3">VLOOKUP(F11,I$1:J$5,2,FALSE)</f>
        <v>vis</v>
      </c>
      <c r="E11" s="44">
        <f>VLOOKUP(C11,Active!C$21:E$972,3,FALSE)</f>
        <v>-12.45988592293642</v>
      </c>
      <c r="F11" s="3" t="s">
        <v>63</v>
      </c>
      <c r="G11" s="12" t="str">
        <f t="shared" ref="G11:G24" si="4">MID(I11,3,LEN(I11)-3)</f>
        <v>53447.590</v>
      </c>
      <c r="H11" s="10">
        <f t="shared" ref="H11:H24" si="5">1*K11</f>
        <v>12863</v>
      </c>
      <c r="I11" s="45" t="s">
        <v>95</v>
      </c>
      <c r="J11" s="46" t="s">
        <v>96</v>
      </c>
      <c r="K11" s="45">
        <v>12863</v>
      </c>
      <c r="L11" s="45" t="s">
        <v>97</v>
      </c>
      <c r="M11" s="46" t="s">
        <v>92</v>
      </c>
      <c r="N11" s="46"/>
      <c r="O11" s="47" t="s">
        <v>93</v>
      </c>
      <c r="P11" s="48" t="s">
        <v>98</v>
      </c>
    </row>
    <row r="12" spans="1:16" ht="12.75" customHeight="1" thickBot="1" x14ac:dyDescent="0.25">
      <c r="A12" s="10" t="str">
        <f t="shared" si="0"/>
        <v>IBVS 5690 </v>
      </c>
      <c r="B12" s="3" t="str">
        <f t="shared" si="1"/>
        <v>II</v>
      </c>
      <c r="C12" s="10">
        <f t="shared" si="2"/>
        <v>53473.960899999998</v>
      </c>
      <c r="D12" s="12" t="str">
        <f t="shared" si="3"/>
        <v>vis</v>
      </c>
      <c r="E12" s="44">
        <f>VLOOKUP(C12,Active!C$21:E$972,3,FALSE)</f>
        <v>0</v>
      </c>
      <c r="F12" s="3" t="s">
        <v>63</v>
      </c>
      <c r="G12" s="12" t="str">
        <f t="shared" si="4"/>
        <v>53473.9609</v>
      </c>
      <c r="H12" s="10">
        <f t="shared" si="5"/>
        <v>12886.5</v>
      </c>
      <c r="I12" s="45" t="s">
        <v>99</v>
      </c>
      <c r="J12" s="46" t="s">
        <v>100</v>
      </c>
      <c r="K12" s="45">
        <v>12886.5</v>
      </c>
      <c r="L12" s="45" t="s">
        <v>101</v>
      </c>
      <c r="M12" s="46" t="s">
        <v>102</v>
      </c>
      <c r="N12" s="46" t="s">
        <v>103</v>
      </c>
      <c r="O12" s="47" t="s">
        <v>104</v>
      </c>
      <c r="P12" s="48" t="s">
        <v>105</v>
      </c>
    </row>
    <row r="13" spans="1:16" ht="12.75" customHeight="1" thickBot="1" x14ac:dyDescent="0.25">
      <c r="A13" s="10" t="str">
        <f t="shared" si="0"/>
        <v>IBVS 5992 </v>
      </c>
      <c r="B13" s="3" t="str">
        <f t="shared" si="1"/>
        <v>I</v>
      </c>
      <c r="C13" s="10">
        <f t="shared" si="2"/>
        <v>55653.851699999999</v>
      </c>
      <c r="D13" s="12" t="str">
        <f t="shared" si="3"/>
        <v>vis</v>
      </c>
      <c r="E13" s="44">
        <f>VLOOKUP(C13,Active!C$21:E$972,3,FALSE)</f>
        <v>1029.9682867272966</v>
      </c>
      <c r="F13" s="3" t="s">
        <v>63</v>
      </c>
      <c r="G13" s="12" t="str">
        <f t="shared" si="4"/>
        <v>55653.8517</v>
      </c>
      <c r="H13" s="10">
        <f t="shared" si="5"/>
        <v>14815</v>
      </c>
      <c r="I13" s="45" t="s">
        <v>113</v>
      </c>
      <c r="J13" s="46" t="s">
        <v>114</v>
      </c>
      <c r="K13" s="45">
        <v>14815</v>
      </c>
      <c r="L13" s="45" t="s">
        <v>115</v>
      </c>
      <c r="M13" s="46" t="s">
        <v>109</v>
      </c>
      <c r="N13" s="46" t="s">
        <v>63</v>
      </c>
      <c r="O13" s="47" t="s">
        <v>116</v>
      </c>
      <c r="P13" s="48" t="s">
        <v>117</v>
      </c>
    </row>
    <row r="14" spans="1:16" ht="12.75" customHeight="1" thickBot="1" x14ac:dyDescent="0.25">
      <c r="A14" s="10" t="str">
        <f t="shared" si="0"/>
        <v>IBVS 6029 </v>
      </c>
      <c r="B14" s="3" t="str">
        <f t="shared" si="1"/>
        <v>I</v>
      </c>
      <c r="C14" s="10">
        <f t="shared" si="2"/>
        <v>56036.913699999997</v>
      </c>
      <c r="D14" s="12" t="str">
        <f t="shared" si="3"/>
        <v>vis</v>
      </c>
      <c r="E14" s="44">
        <f>VLOOKUP(C14,Active!C$21:E$972,3,FALSE)</f>
        <v>1210.9597895357535</v>
      </c>
      <c r="F14" s="3" t="s">
        <v>63</v>
      </c>
      <c r="G14" s="12" t="str">
        <f t="shared" si="4"/>
        <v>56036.9137</v>
      </c>
      <c r="H14" s="10">
        <f t="shared" si="5"/>
        <v>15154</v>
      </c>
      <c r="I14" s="45" t="s">
        <v>118</v>
      </c>
      <c r="J14" s="46" t="s">
        <v>119</v>
      </c>
      <c r="K14" s="45">
        <v>15154</v>
      </c>
      <c r="L14" s="45" t="s">
        <v>120</v>
      </c>
      <c r="M14" s="46" t="s">
        <v>109</v>
      </c>
      <c r="N14" s="46" t="s">
        <v>63</v>
      </c>
      <c r="O14" s="47" t="s">
        <v>116</v>
      </c>
      <c r="P14" s="48" t="s">
        <v>121</v>
      </c>
    </row>
    <row r="15" spans="1:16" ht="12.75" customHeight="1" thickBot="1" x14ac:dyDescent="0.25">
      <c r="A15" s="10" t="str">
        <f t="shared" si="0"/>
        <v>IBVS 6029 </v>
      </c>
      <c r="B15" s="3" t="str">
        <f t="shared" si="1"/>
        <v>I</v>
      </c>
      <c r="C15" s="10">
        <f t="shared" si="2"/>
        <v>56087.711199999998</v>
      </c>
      <c r="D15" s="12" t="str">
        <f t="shared" si="3"/>
        <v>vis</v>
      </c>
      <c r="E15" s="44">
        <f>VLOOKUP(C15,Active!C$21:E$972,3,FALSE)</f>
        <v>1234.9609064930939</v>
      </c>
      <c r="F15" s="3" t="s">
        <v>63</v>
      </c>
      <c r="G15" s="12" t="str">
        <f t="shared" si="4"/>
        <v>56087.7112</v>
      </c>
      <c r="H15" s="10">
        <f t="shared" si="5"/>
        <v>15199</v>
      </c>
      <c r="I15" s="45" t="s">
        <v>122</v>
      </c>
      <c r="J15" s="46" t="s">
        <v>123</v>
      </c>
      <c r="K15" s="45">
        <v>15199</v>
      </c>
      <c r="L15" s="45" t="s">
        <v>124</v>
      </c>
      <c r="M15" s="46" t="s">
        <v>109</v>
      </c>
      <c r="N15" s="46" t="s">
        <v>63</v>
      </c>
      <c r="O15" s="47" t="s">
        <v>116</v>
      </c>
      <c r="P15" s="48" t="s">
        <v>121</v>
      </c>
    </row>
    <row r="16" spans="1:16" ht="12.75" customHeight="1" thickBot="1" x14ac:dyDescent="0.25">
      <c r="A16" s="10" t="str">
        <f t="shared" si="0"/>
        <v>IBVS 994 </v>
      </c>
      <c r="B16" s="3" t="str">
        <f t="shared" si="1"/>
        <v>I</v>
      </c>
      <c r="C16" s="10">
        <f t="shared" si="2"/>
        <v>38855.506999999998</v>
      </c>
      <c r="D16" s="12" t="str">
        <f t="shared" si="3"/>
        <v>vis</v>
      </c>
      <c r="E16" s="44">
        <f>VLOOKUP(C16,Active!C$21:E$972,3,FALSE)</f>
        <v>-6907.0175065581079</v>
      </c>
      <c r="F16" s="3" t="s">
        <v>63</v>
      </c>
      <c r="G16" s="12" t="str">
        <f t="shared" si="4"/>
        <v>38855.507</v>
      </c>
      <c r="H16" s="10">
        <f t="shared" si="5"/>
        <v>-45</v>
      </c>
      <c r="I16" s="45" t="s">
        <v>65</v>
      </c>
      <c r="J16" s="46" t="s">
        <v>66</v>
      </c>
      <c r="K16" s="45">
        <v>-45</v>
      </c>
      <c r="L16" s="45" t="s">
        <v>67</v>
      </c>
      <c r="M16" s="46" t="s">
        <v>68</v>
      </c>
      <c r="N16" s="46"/>
      <c r="O16" s="47" t="s">
        <v>69</v>
      </c>
      <c r="P16" s="48" t="s">
        <v>70</v>
      </c>
    </row>
    <row r="17" spans="1:16" ht="12.75" customHeight="1" thickBot="1" x14ac:dyDescent="0.25">
      <c r="A17" s="10" t="str">
        <f t="shared" si="0"/>
        <v>IBVS 994 </v>
      </c>
      <c r="B17" s="3" t="str">
        <f t="shared" si="1"/>
        <v>I</v>
      </c>
      <c r="C17" s="10">
        <f t="shared" si="2"/>
        <v>38906.355000000003</v>
      </c>
      <c r="D17" s="12" t="str">
        <f t="shared" si="3"/>
        <v>vis</v>
      </c>
      <c r="E17" s="44">
        <f>VLOOKUP(C17,Active!C$21:E$972,3,FALSE)</f>
        <v>-6882.992529048448</v>
      </c>
      <c r="F17" s="3" t="s">
        <v>63</v>
      </c>
      <c r="G17" s="12" t="str">
        <f t="shared" si="4"/>
        <v>38906.355</v>
      </c>
      <c r="H17" s="10">
        <f t="shared" si="5"/>
        <v>0</v>
      </c>
      <c r="I17" s="45" t="s">
        <v>71</v>
      </c>
      <c r="J17" s="46" t="s">
        <v>72</v>
      </c>
      <c r="K17" s="45">
        <v>0</v>
      </c>
      <c r="L17" s="45" t="s">
        <v>73</v>
      </c>
      <c r="M17" s="46" t="s">
        <v>68</v>
      </c>
      <c r="N17" s="46"/>
      <c r="O17" s="47" t="s">
        <v>69</v>
      </c>
      <c r="P17" s="48" t="s">
        <v>70</v>
      </c>
    </row>
    <row r="18" spans="1:16" ht="12.75" customHeight="1" thickBot="1" x14ac:dyDescent="0.25">
      <c r="A18" s="10" t="str">
        <f t="shared" si="0"/>
        <v>IBVS 994 </v>
      </c>
      <c r="B18" s="3" t="str">
        <f t="shared" si="1"/>
        <v>I</v>
      </c>
      <c r="C18" s="10">
        <f t="shared" si="2"/>
        <v>38940.264999999999</v>
      </c>
      <c r="D18" s="12" t="str">
        <f t="shared" si="3"/>
        <v>vis</v>
      </c>
      <c r="E18" s="44">
        <f>VLOOKUP(C18,Active!C$21:E$972,3,FALSE)</f>
        <v>-6866.9705225319203</v>
      </c>
      <c r="F18" s="3" t="s">
        <v>63</v>
      </c>
      <c r="G18" s="12" t="str">
        <f t="shared" si="4"/>
        <v>38940.265</v>
      </c>
      <c r="H18" s="10">
        <f t="shared" si="5"/>
        <v>30</v>
      </c>
      <c r="I18" s="45" t="s">
        <v>74</v>
      </c>
      <c r="J18" s="46" t="s">
        <v>75</v>
      </c>
      <c r="K18" s="45">
        <v>30</v>
      </c>
      <c r="L18" s="45" t="s">
        <v>76</v>
      </c>
      <c r="M18" s="46" t="s">
        <v>68</v>
      </c>
      <c r="N18" s="46"/>
      <c r="O18" s="47" t="s">
        <v>69</v>
      </c>
      <c r="P18" s="48" t="s">
        <v>70</v>
      </c>
    </row>
    <row r="19" spans="1:16" ht="12.75" customHeight="1" thickBot="1" x14ac:dyDescent="0.25">
      <c r="A19" s="10" t="str">
        <f t="shared" si="0"/>
        <v>IBVS 994 </v>
      </c>
      <c r="B19" s="3" t="str">
        <f t="shared" si="1"/>
        <v>I</v>
      </c>
      <c r="C19" s="10">
        <f t="shared" si="2"/>
        <v>39270.353000000003</v>
      </c>
      <c r="D19" s="12" t="str">
        <f t="shared" si="3"/>
        <v>vis</v>
      </c>
      <c r="E19" s="44">
        <f>VLOOKUP(C19,Active!C$21:E$972,3,FALSE)</f>
        <v>-6711.0085028613739</v>
      </c>
      <c r="F19" s="3" t="s">
        <v>63</v>
      </c>
      <c r="G19" s="12" t="str">
        <f t="shared" si="4"/>
        <v>39270.353</v>
      </c>
      <c r="H19" s="10">
        <f t="shared" si="5"/>
        <v>322</v>
      </c>
      <c r="I19" s="45" t="s">
        <v>77</v>
      </c>
      <c r="J19" s="46" t="s">
        <v>78</v>
      </c>
      <c r="K19" s="45">
        <v>322</v>
      </c>
      <c r="L19" s="45" t="s">
        <v>79</v>
      </c>
      <c r="M19" s="46" t="s">
        <v>68</v>
      </c>
      <c r="N19" s="46"/>
      <c r="O19" s="47" t="s">
        <v>69</v>
      </c>
      <c r="P19" s="48" t="s">
        <v>70</v>
      </c>
    </row>
    <row r="20" spans="1:16" ht="12.75" customHeight="1" thickBot="1" x14ac:dyDescent="0.25">
      <c r="A20" s="10" t="str">
        <f t="shared" si="0"/>
        <v>IBVS 994 </v>
      </c>
      <c r="B20" s="3" t="str">
        <f t="shared" si="1"/>
        <v>I</v>
      </c>
      <c r="C20" s="10">
        <f t="shared" si="2"/>
        <v>39287.307000000001</v>
      </c>
      <c r="D20" s="12" t="str">
        <f t="shared" si="3"/>
        <v>vis</v>
      </c>
      <c r="E20" s="44">
        <f>VLOOKUP(C20,Active!C$21:E$972,3,FALSE)</f>
        <v>-6702.9979720892943</v>
      </c>
      <c r="F20" s="3" t="s">
        <v>63</v>
      </c>
      <c r="G20" s="12" t="str">
        <f t="shared" si="4"/>
        <v>39287.307</v>
      </c>
      <c r="H20" s="10">
        <f t="shared" si="5"/>
        <v>337</v>
      </c>
      <c r="I20" s="45" t="s">
        <v>80</v>
      </c>
      <c r="J20" s="46" t="s">
        <v>81</v>
      </c>
      <c r="K20" s="45">
        <v>337</v>
      </c>
      <c r="L20" s="45" t="s">
        <v>82</v>
      </c>
      <c r="M20" s="46" t="s">
        <v>68</v>
      </c>
      <c r="N20" s="46"/>
      <c r="O20" s="47" t="s">
        <v>69</v>
      </c>
      <c r="P20" s="48" t="s">
        <v>70</v>
      </c>
    </row>
    <row r="21" spans="1:16" ht="12.75" customHeight="1" thickBot="1" x14ac:dyDescent="0.25">
      <c r="A21" s="10" t="str">
        <f t="shared" si="0"/>
        <v>IBVS 994 </v>
      </c>
      <c r="B21" s="3" t="str">
        <f t="shared" si="1"/>
        <v>I</v>
      </c>
      <c r="C21" s="10">
        <f t="shared" si="2"/>
        <v>41755.182000000001</v>
      </c>
      <c r="D21" s="12" t="str">
        <f t="shared" si="3"/>
        <v>vis</v>
      </c>
      <c r="E21" s="44">
        <f>VLOOKUP(C21,Active!C$21:E$972,3,FALSE)</f>
        <v>-5536.9611295065715</v>
      </c>
      <c r="F21" s="3" t="s">
        <v>63</v>
      </c>
      <c r="G21" s="12" t="str">
        <f t="shared" si="4"/>
        <v>41755.182</v>
      </c>
      <c r="H21" s="10">
        <f t="shared" si="5"/>
        <v>2520</v>
      </c>
      <c r="I21" s="45" t="s">
        <v>83</v>
      </c>
      <c r="J21" s="46" t="s">
        <v>84</v>
      </c>
      <c r="K21" s="45">
        <v>2520</v>
      </c>
      <c r="L21" s="45" t="s">
        <v>85</v>
      </c>
      <c r="M21" s="46" t="s">
        <v>68</v>
      </c>
      <c r="N21" s="46"/>
      <c r="O21" s="47" t="s">
        <v>69</v>
      </c>
      <c r="P21" s="48" t="s">
        <v>70</v>
      </c>
    </row>
    <row r="22" spans="1:16" ht="12.75" customHeight="1" thickBot="1" x14ac:dyDescent="0.25">
      <c r="A22" s="10" t="str">
        <f t="shared" si="0"/>
        <v>IBVS 994 </v>
      </c>
      <c r="B22" s="3" t="str">
        <f t="shared" si="1"/>
        <v>I</v>
      </c>
      <c r="C22" s="10">
        <f t="shared" si="2"/>
        <v>42136.11</v>
      </c>
      <c r="D22" s="12" t="str">
        <f t="shared" si="3"/>
        <v>vis</v>
      </c>
      <c r="E22" s="44">
        <f>VLOOKUP(C22,Active!C$21:E$972,3,FALSE)</f>
        <v>-5356.9779122158452</v>
      </c>
      <c r="F22" s="3" t="s">
        <v>63</v>
      </c>
      <c r="G22" s="12" t="str">
        <f t="shared" si="4"/>
        <v>42136.110</v>
      </c>
      <c r="H22" s="10">
        <f t="shared" si="5"/>
        <v>2857</v>
      </c>
      <c r="I22" s="45" t="s">
        <v>86</v>
      </c>
      <c r="J22" s="46" t="s">
        <v>87</v>
      </c>
      <c r="K22" s="45">
        <v>2857</v>
      </c>
      <c r="L22" s="45" t="s">
        <v>88</v>
      </c>
      <c r="M22" s="46" t="s">
        <v>68</v>
      </c>
      <c r="N22" s="46"/>
      <c r="O22" s="47" t="s">
        <v>69</v>
      </c>
      <c r="P22" s="48" t="s">
        <v>70</v>
      </c>
    </row>
    <row r="23" spans="1:16" ht="12.75" customHeight="1" thickBot="1" x14ac:dyDescent="0.25">
      <c r="A23" s="10" t="str">
        <f t="shared" si="0"/>
        <v> BBS 28 </v>
      </c>
      <c r="B23" s="3" t="str">
        <f t="shared" si="1"/>
        <v>I</v>
      </c>
      <c r="C23" s="10">
        <f t="shared" si="2"/>
        <v>42927.408000000003</v>
      </c>
      <c r="D23" s="12" t="str">
        <f t="shared" si="3"/>
        <v>vis</v>
      </c>
      <c r="E23" s="44">
        <f>VLOOKUP(C23,Active!C$21:E$972,3,FALSE)</f>
        <v>-4983.100539390226</v>
      </c>
      <c r="F23" s="3" t="s">
        <v>63</v>
      </c>
      <c r="G23" s="12" t="str">
        <f t="shared" si="4"/>
        <v>42927.408</v>
      </c>
      <c r="H23" s="10">
        <f t="shared" si="5"/>
        <v>3557</v>
      </c>
      <c r="I23" s="45" t="s">
        <v>89</v>
      </c>
      <c r="J23" s="46" t="s">
        <v>90</v>
      </c>
      <c r="K23" s="45">
        <v>3557</v>
      </c>
      <c r="L23" s="45" t="s">
        <v>91</v>
      </c>
      <c r="M23" s="46" t="s">
        <v>92</v>
      </c>
      <c r="N23" s="46"/>
      <c r="O23" s="47" t="s">
        <v>93</v>
      </c>
      <c r="P23" s="47" t="s">
        <v>94</v>
      </c>
    </row>
    <row r="24" spans="1:16" ht="12.75" customHeight="1" thickBot="1" x14ac:dyDescent="0.25">
      <c r="A24" s="10" t="str">
        <f t="shared" si="0"/>
        <v>VSB 48 </v>
      </c>
      <c r="B24" s="3" t="str">
        <f t="shared" si="1"/>
        <v>II</v>
      </c>
      <c r="C24" s="10">
        <f t="shared" si="2"/>
        <v>54568.1351</v>
      </c>
      <c r="D24" s="12" t="str">
        <f t="shared" si="3"/>
        <v>vis</v>
      </c>
      <c r="E24" s="44">
        <f>VLOOKUP(C24,Active!C$21:E$972,3,FALSE)</f>
        <v>516.98219294067894</v>
      </c>
      <c r="F24" s="3" t="s">
        <v>63</v>
      </c>
      <c r="G24" s="12" t="str">
        <f t="shared" si="4"/>
        <v>54568.1351</v>
      </c>
      <c r="H24" s="10">
        <f t="shared" si="5"/>
        <v>13854.5</v>
      </c>
      <c r="I24" s="45" t="s">
        <v>106</v>
      </c>
      <c r="J24" s="46" t="s">
        <v>107</v>
      </c>
      <c r="K24" s="45">
        <v>13854.5</v>
      </c>
      <c r="L24" s="45" t="s">
        <v>108</v>
      </c>
      <c r="M24" s="46" t="s">
        <v>109</v>
      </c>
      <c r="N24" s="46" t="s">
        <v>110</v>
      </c>
      <c r="O24" s="47" t="s">
        <v>111</v>
      </c>
      <c r="P24" s="48" t="s">
        <v>112</v>
      </c>
    </row>
    <row r="25" spans="1:16" x14ac:dyDescent="0.2">
      <c r="B25" s="3"/>
      <c r="E25" s="44"/>
      <c r="F25" s="3"/>
    </row>
    <row r="26" spans="1:16" x14ac:dyDescent="0.2">
      <c r="B26" s="3"/>
      <c r="E26" s="44"/>
      <c r="F26" s="3"/>
    </row>
    <row r="27" spans="1:16" x14ac:dyDescent="0.2">
      <c r="B27" s="3"/>
      <c r="E27" s="44"/>
      <c r="F27" s="3"/>
    </row>
    <row r="28" spans="1:16" x14ac:dyDescent="0.2">
      <c r="B28" s="3"/>
      <c r="E28" s="44"/>
      <c r="F28" s="3"/>
    </row>
    <row r="29" spans="1:16" x14ac:dyDescent="0.2">
      <c r="B29" s="3"/>
      <c r="E29" s="44"/>
      <c r="F29" s="3"/>
    </row>
    <row r="30" spans="1:16" x14ac:dyDescent="0.2">
      <c r="B30" s="3"/>
      <c r="E30" s="44"/>
      <c r="F30" s="3"/>
    </row>
    <row r="31" spans="1:16" x14ac:dyDescent="0.2">
      <c r="B31" s="3"/>
      <c r="E31" s="44"/>
      <c r="F31" s="3"/>
    </row>
    <row r="32" spans="1:16" x14ac:dyDescent="0.2">
      <c r="B32" s="3"/>
      <c r="E32" s="44"/>
      <c r="F32" s="3"/>
    </row>
    <row r="33" spans="2:6" x14ac:dyDescent="0.2">
      <c r="B33" s="3"/>
      <c r="E33" s="44"/>
      <c r="F33" s="3"/>
    </row>
    <row r="34" spans="2:6" x14ac:dyDescent="0.2">
      <c r="B34" s="3"/>
      <c r="E34" s="44"/>
      <c r="F34" s="3"/>
    </row>
    <row r="35" spans="2:6" x14ac:dyDescent="0.2">
      <c r="B35" s="3"/>
      <c r="E35" s="44"/>
      <c r="F35" s="3"/>
    </row>
    <row r="36" spans="2:6" x14ac:dyDescent="0.2">
      <c r="B36" s="3"/>
      <c r="E36" s="44"/>
      <c r="F36" s="3"/>
    </row>
    <row r="37" spans="2:6" x14ac:dyDescent="0.2">
      <c r="B37" s="3"/>
      <c r="E37" s="44"/>
      <c r="F37" s="3"/>
    </row>
    <row r="38" spans="2:6" x14ac:dyDescent="0.2">
      <c r="B38" s="3"/>
      <c r="E38" s="44"/>
      <c r="F38" s="3"/>
    </row>
    <row r="39" spans="2:6" x14ac:dyDescent="0.2">
      <c r="B39" s="3"/>
      <c r="E39" s="44"/>
      <c r="F39" s="3"/>
    </row>
    <row r="40" spans="2:6" x14ac:dyDescent="0.2">
      <c r="B40" s="3"/>
      <c r="E40" s="44"/>
      <c r="F40" s="3"/>
    </row>
    <row r="41" spans="2:6" x14ac:dyDescent="0.2">
      <c r="B41" s="3"/>
      <c r="E41" s="44"/>
      <c r="F41" s="3"/>
    </row>
    <row r="42" spans="2:6" x14ac:dyDescent="0.2">
      <c r="B42" s="3"/>
      <c r="E42" s="44"/>
      <c r="F42" s="3"/>
    </row>
    <row r="43" spans="2:6" x14ac:dyDescent="0.2">
      <c r="B43" s="3"/>
      <c r="E43" s="44"/>
      <c r="F43" s="3"/>
    </row>
    <row r="44" spans="2:6" x14ac:dyDescent="0.2">
      <c r="B44" s="3"/>
      <c r="E44" s="44"/>
      <c r="F44" s="3"/>
    </row>
    <row r="45" spans="2:6" x14ac:dyDescent="0.2">
      <c r="B45" s="3"/>
      <c r="E45" s="44"/>
      <c r="F45" s="3"/>
    </row>
    <row r="46" spans="2:6" x14ac:dyDescent="0.2">
      <c r="B46" s="3"/>
      <c r="E46" s="44"/>
      <c r="F46" s="3"/>
    </row>
    <row r="47" spans="2:6" x14ac:dyDescent="0.2">
      <c r="B47" s="3"/>
      <c r="E47" s="44"/>
      <c r="F47" s="3"/>
    </row>
    <row r="48" spans="2:6" x14ac:dyDescent="0.2">
      <c r="B48" s="3"/>
      <c r="E48" s="44"/>
      <c r="F48" s="3"/>
    </row>
    <row r="49" spans="2:6" x14ac:dyDescent="0.2">
      <c r="B49" s="3"/>
      <c r="E49" s="44"/>
      <c r="F49" s="3"/>
    </row>
    <row r="50" spans="2:6" x14ac:dyDescent="0.2">
      <c r="B50" s="3"/>
      <c r="E50" s="44"/>
      <c r="F50" s="3"/>
    </row>
    <row r="51" spans="2:6" x14ac:dyDescent="0.2">
      <c r="B51" s="3"/>
      <c r="E51" s="44"/>
      <c r="F51" s="3"/>
    </row>
    <row r="52" spans="2:6" x14ac:dyDescent="0.2">
      <c r="B52" s="3"/>
      <c r="E52" s="44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</sheetData>
  <phoneticPr fontId="7" type="noConversion"/>
  <hyperlinks>
    <hyperlink ref="P16" r:id="rId1" display="http://www.konkoly.hu/cgi-bin/IBVS?994"/>
    <hyperlink ref="P17" r:id="rId2" display="http://www.konkoly.hu/cgi-bin/IBVS?994"/>
    <hyperlink ref="P18" r:id="rId3" display="http://www.konkoly.hu/cgi-bin/IBVS?994"/>
    <hyperlink ref="P19" r:id="rId4" display="http://www.konkoly.hu/cgi-bin/IBVS?994"/>
    <hyperlink ref="P20" r:id="rId5" display="http://www.konkoly.hu/cgi-bin/IBVS?994"/>
    <hyperlink ref="P21" r:id="rId6" display="http://www.konkoly.hu/cgi-bin/IBVS?994"/>
    <hyperlink ref="P22" r:id="rId7" display="http://www.konkoly.hu/cgi-bin/IBVS?994"/>
    <hyperlink ref="P11" r:id="rId8" display="http://var.astro.cz/oejv/issues/oejv0003.pdf"/>
    <hyperlink ref="P12" r:id="rId9" display="http://www.konkoly.hu/cgi-bin/IBVS?5690"/>
    <hyperlink ref="P24" r:id="rId10" display="http://vsolj.cetus-net.org/no48.pdf"/>
    <hyperlink ref="P13" r:id="rId11" display="http://www.konkoly.hu/cgi-bin/IBVS?5992"/>
    <hyperlink ref="P14" r:id="rId12" display="http://www.konkoly.hu/cgi-bin/IBVS?6029"/>
    <hyperlink ref="P15" r:id="rId13" display="http://www.konkoly.hu/cgi-bin/IBVS?602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2024-02-18T04:19:39Z</dcterms:modified>
</cp:coreProperties>
</file>