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7A6E5C1-2F8D-417A-9F75-AD3523DAB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2" i="1" l="1"/>
  <c r="F102" i="1" s="1"/>
  <c r="G102" i="1" s="1"/>
  <c r="K102" i="1" s="1"/>
  <c r="Q102" i="1"/>
  <c r="E103" i="1"/>
  <c r="F103" i="1"/>
  <c r="G103" i="1" s="1"/>
  <c r="K103" i="1" s="1"/>
  <c r="Q103" i="1"/>
  <c r="Q100" i="1"/>
  <c r="Q101" i="1"/>
  <c r="Q99" i="1"/>
  <c r="Q92" i="1"/>
  <c r="Q93" i="1"/>
  <c r="Q94" i="1"/>
  <c r="Q98" i="1"/>
  <c r="Q95" i="1"/>
  <c r="Q96" i="1"/>
  <c r="Q97" i="1"/>
  <c r="Q89" i="1"/>
  <c r="Q90" i="1"/>
  <c r="Q91" i="1"/>
  <c r="Q88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67" i="1"/>
  <c r="Q68" i="1"/>
  <c r="Q69" i="1"/>
  <c r="Q70" i="1"/>
  <c r="Q71" i="1"/>
  <c r="Q72" i="1"/>
  <c r="Q76" i="1"/>
  <c r="Q77" i="1"/>
  <c r="Q78" i="1"/>
  <c r="Q79" i="1"/>
  <c r="Q80" i="1"/>
  <c r="Q81" i="1"/>
  <c r="G44" i="2"/>
  <c r="C44" i="2"/>
  <c r="G43" i="2"/>
  <c r="C43" i="2"/>
  <c r="G42" i="2"/>
  <c r="C42" i="2"/>
  <c r="G41" i="2"/>
  <c r="C41" i="2"/>
  <c r="G40" i="2"/>
  <c r="C40" i="2"/>
  <c r="G39" i="2"/>
  <c r="C39" i="2"/>
  <c r="G73" i="2"/>
  <c r="C73" i="2"/>
  <c r="G72" i="2"/>
  <c r="C72" i="2"/>
  <c r="G71" i="2"/>
  <c r="C71" i="2"/>
  <c r="G70" i="2"/>
  <c r="C70" i="2"/>
  <c r="G69" i="2"/>
  <c r="C69" i="2"/>
  <c r="G68" i="2"/>
  <c r="C68" i="2"/>
  <c r="G38" i="2"/>
  <c r="C38" i="2"/>
  <c r="G37" i="2"/>
  <c r="C37" i="2"/>
  <c r="G67" i="2"/>
  <c r="C67" i="2"/>
  <c r="G66" i="2"/>
  <c r="C66" i="2"/>
  <c r="G65" i="2"/>
  <c r="C65" i="2"/>
  <c r="G64" i="2"/>
  <c r="C64" i="2"/>
  <c r="G63" i="2"/>
  <c r="C63" i="2"/>
  <c r="G62" i="2"/>
  <c r="C62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61" i="2"/>
  <c r="C61" i="2"/>
  <c r="G11" i="2"/>
  <c r="C1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38" i="2"/>
  <c r="B38" i="2"/>
  <c r="D38" i="2"/>
  <c r="A38" i="2"/>
  <c r="H37" i="2"/>
  <c r="B37" i="2"/>
  <c r="D37" i="2"/>
  <c r="A37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61" i="2"/>
  <c r="B61" i="2"/>
  <c r="D61" i="2"/>
  <c r="A61" i="2"/>
  <c r="H11" i="2"/>
  <c r="B11" i="2"/>
  <c r="D11" i="2"/>
  <c r="A1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Q87" i="1"/>
  <c r="Q84" i="1"/>
  <c r="Q82" i="1"/>
  <c r="Q83" i="1"/>
  <c r="Q86" i="1"/>
  <c r="Q75" i="1"/>
  <c r="Q74" i="1"/>
  <c r="Q85" i="1"/>
  <c r="F16" i="1"/>
  <c r="F17" i="1" s="1"/>
  <c r="C17" i="1"/>
  <c r="Q37" i="1"/>
  <c r="Q73" i="1"/>
  <c r="Q39" i="1"/>
  <c r="Q40" i="1"/>
  <c r="Q41" i="1"/>
  <c r="Q42" i="1"/>
  <c r="Q43" i="1"/>
  <c r="Q44" i="1"/>
  <c r="Q46" i="1"/>
  <c r="Q45" i="1"/>
  <c r="Q47" i="1"/>
  <c r="Q48" i="1"/>
  <c r="Q49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C8" i="1"/>
  <c r="C7" i="1"/>
  <c r="E100" i="1" s="1"/>
  <c r="F100" i="1" s="1"/>
  <c r="E93" i="1"/>
  <c r="F93" i="1" s="1"/>
  <c r="G93" i="1" s="1"/>
  <c r="K93" i="1" s="1"/>
  <c r="Q50" i="1"/>
  <c r="E49" i="1"/>
  <c r="E20" i="2" s="1"/>
  <c r="E33" i="1"/>
  <c r="F33" i="1" s="1"/>
  <c r="G33" i="1" s="1"/>
  <c r="H33" i="1" s="1"/>
  <c r="E22" i="1"/>
  <c r="E46" i="2" s="1"/>
  <c r="E71" i="1"/>
  <c r="F71" i="1" s="1"/>
  <c r="E31" i="1"/>
  <c r="E55" i="2" s="1"/>
  <c r="E41" i="1"/>
  <c r="E14" i="2" s="1"/>
  <c r="E96" i="1"/>
  <c r="F96" i="1"/>
  <c r="E81" i="1"/>
  <c r="E73" i="2" s="1"/>
  <c r="F81" i="1"/>
  <c r="E59" i="1"/>
  <c r="F59" i="1" s="1"/>
  <c r="E91" i="1"/>
  <c r="F91" i="1" s="1"/>
  <c r="G91" i="1" s="1"/>
  <c r="K91" i="1" s="1"/>
  <c r="E66" i="1"/>
  <c r="F66" i="1" s="1"/>
  <c r="G66" i="1" s="1"/>
  <c r="I66" i="1" s="1"/>
  <c r="E76" i="1"/>
  <c r="F76" i="1" s="1"/>
  <c r="G76" i="1" s="1"/>
  <c r="K76" i="1" s="1"/>
  <c r="E23" i="1"/>
  <c r="E47" i="2" s="1"/>
  <c r="E61" i="1"/>
  <c r="E31" i="2" s="1"/>
  <c r="E40" i="1"/>
  <c r="F40" i="1" s="1"/>
  <c r="G40" i="1" s="1"/>
  <c r="I40" i="1" s="1"/>
  <c r="E86" i="1"/>
  <c r="F86" i="1" s="1"/>
  <c r="E97" i="1"/>
  <c r="F97" i="1" s="1"/>
  <c r="G97" i="1" s="1"/>
  <c r="K97" i="1" s="1"/>
  <c r="E88" i="1"/>
  <c r="F88" i="1" s="1"/>
  <c r="G88" i="1" s="1"/>
  <c r="K88" i="1" s="1"/>
  <c r="E77" i="1"/>
  <c r="F77" i="1" s="1"/>
  <c r="G77" i="1" s="1"/>
  <c r="K77" i="1" s="1"/>
  <c r="F23" i="1"/>
  <c r="G23" i="1"/>
  <c r="H23" i="1" s="1"/>
  <c r="E29" i="2"/>
  <c r="E13" i="2"/>
  <c r="E57" i="1" l="1"/>
  <c r="F61" i="1"/>
  <c r="G61" i="1" s="1"/>
  <c r="I61" i="1" s="1"/>
  <c r="G22" i="1"/>
  <c r="H22" i="1" s="1"/>
  <c r="E57" i="2"/>
  <c r="E69" i="1"/>
  <c r="E24" i="1"/>
  <c r="E48" i="2" s="1"/>
  <c r="E26" i="1"/>
  <c r="E27" i="1"/>
  <c r="G98" i="1"/>
  <c r="K98" i="1" s="1"/>
  <c r="E60" i="1"/>
  <c r="E35" i="1"/>
  <c r="F35" i="1" s="1"/>
  <c r="G35" i="1" s="1"/>
  <c r="H35" i="1" s="1"/>
  <c r="E34" i="1"/>
  <c r="E82" i="1"/>
  <c r="E94" i="1"/>
  <c r="F94" i="1" s="1"/>
  <c r="G94" i="1" s="1"/>
  <c r="K94" i="1" s="1"/>
  <c r="E53" i="1"/>
  <c r="F22" i="1"/>
  <c r="E43" i="2"/>
  <c r="G81" i="1"/>
  <c r="K81" i="1" s="1"/>
  <c r="E75" i="1"/>
  <c r="E95" i="1"/>
  <c r="F95" i="1" s="1"/>
  <c r="G95" i="1" s="1"/>
  <c r="K95" i="1" s="1"/>
  <c r="E46" i="1"/>
  <c r="F46" i="1" s="1"/>
  <c r="E74" i="1"/>
  <c r="F74" i="1" s="1"/>
  <c r="G74" i="1" s="1"/>
  <c r="K74" i="1" s="1"/>
  <c r="E48" i="1"/>
  <c r="E73" i="1"/>
  <c r="E44" i="1"/>
  <c r="E90" i="1"/>
  <c r="F90" i="1" s="1"/>
  <c r="G90" i="1" s="1"/>
  <c r="K90" i="1" s="1"/>
  <c r="E72" i="1"/>
  <c r="E80" i="1"/>
  <c r="E45" i="1"/>
  <c r="F45" i="1" s="1"/>
  <c r="G45" i="1" s="1"/>
  <c r="I45" i="1" s="1"/>
  <c r="E101" i="1"/>
  <c r="F101" i="1" s="1"/>
  <c r="G101" i="1" s="1"/>
  <c r="K101" i="1" s="1"/>
  <c r="E89" i="1"/>
  <c r="F89" i="1" s="1"/>
  <c r="G89" i="1" s="1"/>
  <c r="K89" i="1" s="1"/>
  <c r="G46" i="1"/>
  <c r="I46" i="1" s="1"/>
  <c r="E83" i="1"/>
  <c r="F83" i="1" s="1"/>
  <c r="G83" i="1" s="1"/>
  <c r="K83" i="1" s="1"/>
  <c r="E32" i="1"/>
  <c r="E37" i="1"/>
  <c r="E52" i="1"/>
  <c r="F52" i="1" s="1"/>
  <c r="G52" i="1" s="1"/>
  <c r="I52" i="1" s="1"/>
  <c r="E70" i="1"/>
  <c r="E25" i="1"/>
  <c r="E85" i="1"/>
  <c r="E92" i="1"/>
  <c r="F92" i="1" s="1"/>
  <c r="G92" i="1" s="1"/>
  <c r="K92" i="1" s="1"/>
  <c r="E54" i="1"/>
  <c r="E65" i="1"/>
  <c r="E56" i="1"/>
  <c r="E87" i="1"/>
  <c r="E69" i="2"/>
  <c r="E47" i="1"/>
  <c r="E67" i="1"/>
  <c r="E62" i="2" s="1"/>
  <c r="F31" i="1"/>
  <c r="G31" i="1" s="1"/>
  <c r="H31" i="1" s="1"/>
  <c r="G59" i="1"/>
  <c r="I59" i="1" s="1"/>
  <c r="E36" i="1"/>
  <c r="F36" i="1" s="1"/>
  <c r="G36" i="1" s="1"/>
  <c r="H36" i="1" s="1"/>
  <c r="G86" i="1"/>
  <c r="K86" i="1" s="1"/>
  <c r="E79" i="1"/>
  <c r="E39" i="1"/>
  <c r="E28" i="1"/>
  <c r="F28" i="1" s="1"/>
  <c r="G28" i="1" s="1"/>
  <c r="H28" i="1" s="1"/>
  <c r="E51" i="1"/>
  <c r="E58" i="1"/>
  <c r="E42" i="1"/>
  <c r="E68" i="2"/>
  <c r="G71" i="1"/>
  <c r="K71" i="1" s="1"/>
  <c r="E55" i="1"/>
  <c r="F55" i="1" s="1"/>
  <c r="G55" i="1" s="1"/>
  <c r="I55" i="1" s="1"/>
  <c r="E30" i="1"/>
  <c r="G100" i="1"/>
  <c r="K100" i="1" s="1"/>
  <c r="E63" i="1"/>
  <c r="E50" i="1"/>
  <c r="F50" i="1" s="1"/>
  <c r="G50" i="1" s="1"/>
  <c r="H50" i="1" s="1"/>
  <c r="E66" i="2"/>
  <c r="E64" i="1"/>
  <c r="F64" i="1" s="1"/>
  <c r="G64" i="1" s="1"/>
  <c r="I64" i="1" s="1"/>
  <c r="E78" i="1"/>
  <c r="E84" i="1"/>
  <c r="E38" i="1"/>
  <c r="G96" i="1"/>
  <c r="K96" i="1" s="1"/>
  <c r="E43" i="1"/>
  <c r="F43" i="1" s="1"/>
  <c r="G43" i="1" s="1"/>
  <c r="I43" i="1" s="1"/>
  <c r="E68" i="1"/>
  <c r="E21" i="1"/>
  <c r="E29" i="1"/>
  <c r="E62" i="1"/>
  <c r="E98" i="1"/>
  <c r="F98" i="1" s="1"/>
  <c r="F49" i="1"/>
  <c r="G49" i="1" s="1"/>
  <c r="K49" i="1" s="1"/>
  <c r="E99" i="1"/>
  <c r="F99" i="1" s="1"/>
  <c r="G99" i="1" s="1"/>
  <c r="K99" i="1" s="1"/>
  <c r="E52" i="2"/>
  <c r="E22" i="2"/>
  <c r="E36" i="2"/>
  <c r="E40" i="2"/>
  <c r="F41" i="1"/>
  <c r="G41" i="1" s="1"/>
  <c r="I41" i="1" s="1"/>
  <c r="E25" i="2"/>
  <c r="E34" i="2"/>
  <c r="E60" i="2"/>
  <c r="E17" i="2"/>
  <c r="E59" i="2"/>
  <c r="F24" i="1"/>
  <c r="G24" i="1" s="1"/>
  <c r="H24" i="1" s="1"/>
  <c r="F67" i="1"/>
  <c r="G67" i="1" s="1"/>
  <c r="F68" i="1" l="1"/>
  <c r="G68" i="1" s="1"/>
  <c r="K68" i="1" s="1"/>
  <c r="E63" i="2"/>
  <c r="F42" i="1"/>
  <c r="G42" i="1" s="1"/>
  <c r="I42" i="1" s="1"/>
  <c r="E15" i="2"/>
  <c r="F87" i="1"/>
  <c r="G87" i="1" s="1"/>
  <c r="K87" i="1" s="1"/>
  <c r="E44" i="2"/>
  <c r="F58" i="1"/>
  <c r="G58" i="1" s="1"/>
  <c r="I58" i="1" s="1"/>
  <c r="E28" i="2"/>
  <c r="E26" i="2"/>
  <c r="F56" i="1"/>
  <c r="G56" i="1" s="1"/>
  <c r="I56" i="1" s="1"/>
  <c r="F63" i="1"/>
  <c r="G63" i="1" s="1"/>
  <c r="I63" i="1" s="1"/>
  <c r="E33" i="2"/>
  <c r="F51" i="1"/>
  <c r="G51" i="1" s="1"/>
  <c r="K51" i="1" s="1"/>
  <c r="E21" i="2"/>
  <c r="E19" i="2"/>
  <c r="F48" i="1"/>
  <c r="G48" i="1" s="1"/>
  <c r="K48" i="1" s="1"/>
  <c r="F53" i="1"/>
  <c r="G53" i="1" s="1"/>
  <c r="I53" i="1" s="1"/>
  <c r="E23" i="2"/>
  <c r="E51" i="2"/>
  <c r="F27" i="1"/>
  <c r="G27" i="1" s="1"/>
  <c r="H27" i="1" s="1"/>
  <c r="E16" i="2"/>
  <c r="F44" i="1"/>
  <c r="G44" i="1" s="1"/>
  <c r="I44" i="1" s="1"/>
  <c r="F38" i="1"/>
  <c r="G38" i="1" s="1"/>
  <c r="H38" i="1" s="1"/>
  <c r="E61" i="2"/>
  <c r="F37" i="1"/>
  <c r="G37" i="1" s="1"/>
  <c r="K37" i="1" s="1"/>
  <c r="E11" i="2"/>
  <c r="E37" i="2"/>
  <c r="F73" i="1"/>
  <c r="G73" i="1" s="1"/>
  <c r="K73" i="1" s="1"/>
  <c r="F84" i="1"/>
  <c r="G84" i="1" s="1"/>
  <c r="K84" i="1" s="1"/>
  <c r="E41" i="2"/>
  <c r="E54" i="2"/>
  <c r="F30" i="1"/>
  <c r="G30" i="1" s="1"/>
  <c r="H30" i="1" s="1"/>
  <c r="E12" i="2"/>
  <c r="F39" i="1"/>
  <c r="G39" i="1" s="1"/>
  <c r="I39" i="1" s="1"/>
  <c r="F65" i="1"/>
  <c r="G65" i="1" s="1"/>
  <c r="E35" i="2"/>
  <c r="E56" i="2"/>
  <c r="F32" i="1"/>
  <c r="G32" i="1" s="1"/>
  <c r="H32" i="1" s="1"/>
  <c r="F80" i="1"/>
  <c r="G80" i="1" s="1"/>
  <c r="K80" i="1" s="1"/>
  <c r="E72" i="2"/>
  <c r="F82" i="1"/>
  <c r="G82" i="1" s="1"/>
  <c r="K82" i="1" s="1"/>
  <c r="E39" i="2"/>
  <c r="F26" i="1"/>
  <c r="G26" i="1" s="1"/>
  <c r="H26" i="1" s="1"/>
  <c r="E50" i="2"/>
  <c r="F57" i="1"/>
  <c r="G57" i="1" s="1"/>
  <c r="I57" i="1" s="1"/>
  <c r="E27" i="2"/>
  <c r="F62" i="1"/>
  <c r="G62" i="1" s="1"/>
  <c r="I62" i="1" s="1"/>
  <c r="E32" i="2"/>
  <c r="E70" i="2"/>
  <c r="F78" i="1"/>
  <c r="G78" i="1" s="1"/>
  <c r="K78" i="1" s="1"/>
  <c r="F79" i="1"/>
  <c r="G79" i="1" s="1"/>
  <c r="K79" i="1" s="1"/>
  <c r="E71" i="2"/>
  <c r="E18" i="2"/>
  <c r="F47" i="1"/>
  <c r="G47" i="1" s="1"/>
  <c r="K47" i="1" s="1"/>
  <c r="E24" i="2"/>
  <c r="F54" i="1"/>
  <c r="G54" i="1" s="1"/>
  <c r="I54" i="1" s="1"/>
  <c r="E67" i="2"/>
  <c r="F72" i="1"/>
  <c r="G72" i="1" s="1"/>
  <c r="K72" i="1" s="1"/>
  <c r="E58" i="2"/>
  <c r="F34" i="1"/>
  <c r="U34" i="1" s="1"/>
  <c r="F29" i="1"/>
  <c r="G29" i="1" s="1"/>
  <c r="H29" i="1" s="1"/>
  <c r="E53" i="2"/>
  <c r="F75" i="1"/>
  <c r="G75" i="1" s="1"/>
  <c r="K75" i="1" s="1"/>
  <c r="E38" i="2"/>
  <c r="F69" i="1"/>
  <c r="G69" i="1" s="1"/>
  <c r="K69" i="1" s="1"/>
  <c r="E64" i="2"/>
  <c r="E49" i="2"/>
  <c r="F25" i="1"/>
  <c r="G25" i="1" s="1"/>
  <c r="H25" i="1" s="1"/>
  <c r="F70" i="1"/>
  <c r="G70" i="1" s="1"/>
  <c r="K70" i="1" s="1"/>
  <c r="E65" i="2"/>
  <c r="E45" i="2"/>
  <c r="F21" i="1"/>
  <c r="G21" i="1" s="1"/>
  <c r="H21" i="1" s="1"/>
  <c r="E42" i="2"/>
  <c r="F85" i="1"/>
  <c r="G85" i="1" s="1"/>
  <c r="K85" i="1" s="1"/>
  <c r="F60" i="1"/>
  <c r="G60" i="1" s="1"/>
  <c r="I60" i="1" s="1"/>
  <c r="E30" i="2"/>
  <c r="K67" i="1"/>
  <c r="C11" i="1"/>
  <c r="C12" i="1"/>
  <c r="O103" i="1" l="1"/>
  <c r="O102" i="1"/>
  <c r="O70" i="1"/>
  <c r="O73" i="1"/>
  <c r="O90" i="1"/>
  <c r="O82" i="1"/>
  <c r="O81" i="1"/>
  <c r="O100" i="1"/>
  <c r="O67" i="1"/>
  <c r="O74" i="1"/>
  <c r="O94" i="1"/>
  <c r="O91" i="1"/>
  <c r="O86" i="1"/>
  <c r="O85" i="1"/>
  <c r="C15" i="1"/>
  <c r="O75" i="1"/>
  <c r="O97" i="1"/>
  <c r="O64" i="1"/>
  <c r="O99" i="1"/>
  <c r="O87" i="1"/>
  <c r="O88" i="1"/>
  <c r="O83" i="1"/>
  <c r="O98" i="1"/>
  <c r="O79" i="1"/>
  <c r="O66" i="1"/>
  <c r="O80" i="1"/>
  <c r="O84" i="1"/>
  <c r="O65" i="1"/>
  <c r="O77" i="1"/>
  <c r="O101" i="1"/>
  <c r="O71" i="1"/>
  <c r="O78" i="1"/>
  <c r="O72" i="1"/>
  <c r="O68" i="1"/>
  <c r="O92" i="1"/>
  <c r="O95" i="1"/>
  <c r="O76" i="1"/>
  <c r="O89" i="1"/>
  <c r="O69" i="1"/>
  <c r="O93" i="1"/>
  <c r="O96" i="1"/>
  <c r="C16" i="1"/>
  <c r="D18" i="1" s="1"/>
  <c r="I65" i="1"/>
  <c r="F18" i="1" l="1"/>
  <c r="F19" i="1" s="1"/>
  <c r="C18" i="1"/>
</calcChain>
</file>

<file path=xl/sharedStrings.xml><?xml version="1.0" encoding="utf-8"?>
<sst xmlns="http://schemas.openxmlformats.org/spreadsheetml/2006/main" count="709" uniqueCount="325">
  <si>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</si>
  <si>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</si>
  <si>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</si>
  <si>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</si>
  <si>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</si>
  <si>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</si>
  <si>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</si>
  <si>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</si>
  <si>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</si>
  <si>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</si>
  <si>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</si>
  <si>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</si>
  <si>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</si>
  <si>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</si>
  <si>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</si>
  <si>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</si>
  <si>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</si>
  <si>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</si>
  <si>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</si>
  <si>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</si>
  <si>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</si>
  <si>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</si>
  <si>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</si>
  <si>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</si>
  <si>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</si>
  <si>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</si>
  <si>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</si>
  <si>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</si>
  <si>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K</t>
  </si>
  <si>
    <t>Locher K</t>
  </si>
  <si>
    <t>BBSAG Bull...18</t>
  </si>
  <si>
    <t>B</t>
  </si>
  <si>
    <t>ORION 119</t>
  </si>
  <si>
    <t>BBSAG Bull...24</t>
  </si>
  <si>
    <t>JAAVSO 5,29</t>
  </si>
  <si>
    <t>:</t>
  </si>
  <si>
    <t>G. Samolyk</t>
  </si>
  <si>
    <t>AAVSO 5</t>
  </si>
  <si>
    <t>A</t>
  </si>
  <si>
    <t>H. Carney</t>
  </si>
  <si>
    <t>D. Williams</t>
  </si>
  <si>
    <t>P. Atwood</t>
  </si>
  <si>
    <t>S. Cook</t>
  </si>
  <si>
    <t>ccd</t>
  </si>
  <si>
    <t>Paschke A</t>
  </si>
  <si>
    <t>BBSAG Bull.116</t>
  </si>
  <si>
    <t>JAAVSO</t>
  </si>
  <si>
    <t>EA/KE:</t>
  </si>
  <si>
    <t>IBVS 0111</t>
  </si>
  <si>
    <t>IBVS 0154</t>
  </si>
  <si>
    <t># of data points:</t>
  </si>
  <si>
    <t>SS Lib / GSC 06186-01313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</si>
  <si>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</si>
  <si>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</si>
  <si>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</si>
  <si>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</si>
  <si>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</si>
  <si>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</si>
  <si>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</t>
  </si>
  <si>
    <t>1964AJ.....69..316F</t>
  </si>
  <si>
    <t>?</t>
  </si>
  <si>
    <t>Start of linear fit &gt;&gt;&gt;&gt;&gt;&gt;&gt;&gt;&gt;&gt;&gt;&gt;&gt;&gt;&gt;&gt;&gt;&gt;&gt;&gt;&gt;</t>
  </si>
  <si>
    <t>Add cycle</t>
  </si>
  <si>
    <t>Old Cycle</t>
  </si>
  <si>
    <t>IBVS 5690</t>
  </si>
  <si>
    <t>IBVS 5992</t>
  </si>
  <si>
    <t>JAVSO..38...85</t>
  </si>
  <si>
    <t>JAVSO..36..186</t>
  </si>
  <si>
    <t>IBVS 6029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</si>
  <si>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</si>
  <si>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</si>
  <si>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</si>
  <si>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</si>
  <si>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</si>
  <si>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</si>
  <si>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</si>
  <si>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</si>
  <si>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</si>
  <si>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</si>
  <si>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</si>
  <si>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</si>
  <si>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</si>
  <si>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2424299.449 </t>
  </si>
  <si>
    <t> 28.05.1925 22:46 </t>
  </si>
  <si>
    <t> 0.005 </t>
  </si>
  <si>
    <t>V </t>
  </si>
  <si>
    <t> J.Pagaczewski </t>
  </si>
  <si>
    <t> CRAC 19 </t>
  </si>
  <si>
    <t>2424322.459 </t>
  </si>
  <si>
    <t> 20.06.1925 23:00 </t>
  </si>
  <si>
    <t> 0.007 </t>
  </si>
  <si>
    <t> AAB 2.29 </t>
  </si>
  <si>
    <t>2424325.296 </t>
  </si>
  <si>
    <t> 23.06.1925 19:06 </t>
  </si>
  <si>
    <t> -0.032 </t>
  </si>
  <si>
    <t>2424598.546 </t>
  </si>
  <si>
    <t> 24.03.1926 01:06 </t>
  </si>
  <si>
    <t> -0.002 </t>
  </si>
  <si>
    <t>2424621.525 </t>
  </si>
  <si>
    <t> 16.04.1926 00:36 </t>
  </si>
  <si>
    <t> -0.031 </t>
  </si>
  <si>
    <t>2424644.512 </t>
  </si>
  <si>
    <t> 09.05.1926 00:17 </t>
  </si>
  <si>
    <t> -0.052 </t>
  </si>
  <si>
    <t>2424647.455 </t>
  </si>
  <si>
    <t> 11.05.1926 22:55 </t>
  </si>
  <si>
    <t> 0.015 </t>
  </si>
  <si>
    <t>2425386.574 </t>
  </si>
  <si>
    <t> 20.05.1928 01:46 </t>
  </si>
  <si>
    <t> 0.003 </t>
  </si>
  <si>
    <t>2425415.317 </t>
  </si>
  <si>
    <t> 17.06.1928 19:36 </t>
  </si>
  <si>
    <t> -0.014 </t>
  </si>
  <si>
    <t> B.W.Kukarkin </t>
  </si>
  <si>
    <t> NNVS 1.5 </t>
  </si>
  <si>
    <t>2425737.429 </t>
  </si>
  <si>
    <t> 05.05.1929 22:17 </t>
  </si>
  <si>
    <t> -0.013 </t>
  </si>
  <si>
    <t>2425796.393 </t>
  </si>
  <si>
    <t> 03.07.1929 21:25 </t>
  </si>
  <si>
    <t> -0.007 </t>
  </si>
  <si>
    <t>2426121.399 </t>
  </si>
  <si>
    <t> 24.05.1930 21:34 </t>
  </si>
  <si>
    <t> 0.011 </t>
  </si>
  <si>
    <t>2426469.392 </t>
  </si>
  <si>
    <t> 07.05.1931 21:24 </t>
  </si>
  <si>
    <t> 0.009 </t>
  </si>
  <si>
    <t>2427573.285 </t>
  </si>
  <si>
    <t> 15.05.1934 18:50 </t>
  </si>
  <si>
    <t> 0.238 </t>
  </si>
  <si>
    <t> W.Zessewitsch </t>
  </si>
  <si>
    <t> CTAD 1 </t>
  </si>
  <si>
    <t>2430914.231 </t>
  </si>
  <si>
    <t> 08.07.1943 17:32 </t>
  </si>
  <si>
    <t> -0.005 </t>
  </si>
  <si>
    <t> IODE 4.2.194 </t>
  </si>
  <si>
    <t>2432355.076 </t>
  </si>
  <si>
    <t> 18.06.1947 13:49 </t>
  </si>
  <si>
    <t> -0.034 </t>
  </si>
  <si>
    <t> A.Soloviev </t>
  </si>
  <si>
    <t> PZ 12.271 </t>
  </si>
  <si>
    <t>2434530.774 </t>
  </si>
  <si>
    <t> 02.06.1953 06:34 </t>
  </si>
  <si>
    <t> -0.028 </t>
  </si>
  <si>
    <t>E </t>
  </si>
  <si>
    <t> W.S.Fitch </t>
  </si>
  <si>
    <t> AJ 60.316 </t>
  </si>
  <si>
    <t>2434868.71 </t>
  </si>
  <si>
    <t> 06.05.1954 05:02 </t>
  </si>
  <si>
    <t> -0.02 </t>
  </si>
  <si>
    <t> R.H.Koch </t>
  </si>
  <si>
    <t> AJ 66.35 </t>
  </si>
  <si>
    <t>2438916.681 </t>
  </si>
  <si>
    <t> 05.06.1965 04:20 </t>
  </si>
  <si>
    <t> -0.016 </t>
  </si>
  <si>
    <t> R.Monske </t>
  </si>
  <si>
    <t>IBVS 111 </t>
  </si>
  <si>
    <t>2438952.638 </t>
  </si>
  <si>
    <t> 11.07.1965 03:18 </t>
  </si>
  <si>
    <t> -0.009 </t>
  </si>
  <si>
    <t>2439287.706 </t>
  </si>
  <si>
    <t> 11.06.1966 04:56 </t>
  </si>
  <si>
    <t> 0.006 </t>
  </si>
  <si>
    <t>IBVS 154 </t>
  </si>
  <si>
    <t>2439323.641 </t>
  </si>
  <si>
    <t> 17.07.1966 03:23 </t>
  </si>
  <si>
    <t>2440383.438 </t>
  </si>
  <si>
    <t> 10.06.1969 22:30 </t>
  </si>
  <si>
    <t> -0.017 </t>
  </si>
  <si>
    <t> K.Locher </t>
  </si>
  <si>
    <t> ORI 113 </t>
  </si>
  <si>
    <t>2440741.516 </t>
  </si>
  <si>
    <t> 04.06.1970 00:23 </t>
  </si>
  <si>
    <t> -0.000 </t>
  </si>
  <si>
    <t> ORI 119 </t>
  </si>
  <si>
    <t>2441096.686 </t>
  </si>
  <si>
    <t> 25.05.1971 04:27 </t>
  </si>
  <si>
    <t> B.Conner </t>
  </si>
  <si>
    <t> AVSJ 5.36 </t>
  </si>
  <si>
    <t>2441152.771 </t>
  </si>
  <si>
    <t> 20.07.1971 06:30 </t>
  </si>
  <si>
    <t>2441155.656 </t>
  </si>
  <si>
    <t> 23.07.1971 03:44 </t>
  </si>
  <si>
    <t> -0.004 </t>
  </si>
  <si>
    <t>2441536.712 </t>
  </si>
  <si>
    <t> 07.08.1972 05:05 </t>
  </si>
  <si>
    <t> -0.018 </t>
  </si>
  <si>
    <t> T.Cragg </t>
  </si>
  <si>
    <t>2443286.771 </t>
  </si>
  <si>
    <t> 23.05.1977 06:30 </t>
  </si>
  <si>
    <t> G.Samolyk </t>
  </si>
  <si>
    <t> AOEB 5 </t>
  </si>
  <si>
    <t>2443982.781 </t>
  </si>
  <si>
    <t> 19.04.1979 06:44 </t>
  </si>
  <si>
    <t> 0.016 </t>
  </si>
  <si>
    <t>2445082.860 </t>
  </si>
  <si>
    <t> 23.04.1982 08:38 </t>
  </si>
  <si>
    <t> 0.027 </t>
  </si>
  <si>
    <t> H.Carney </t>
  </si>
  <si>
    <t>2445131.732 </t>
  </si>
  <si>
    <t> 11.06.1982 05:34 </t>
  </si>
  <si>
    <t> D.Williams </t>
  </si>
  <si>
    <t>2445131.748 </t>
  </si>
  <si>
    <t> 11.06.1982 05:57 </t>
  </si>
  <si>
    <t> 0.023 </t>
  </si>
  <si>
    <t>2445492.689 </t>
  </si>
  <si>
    <t> 07.06.1983 04:32 </t>
  </si>
  <si>
    <t> 0.026 </t>
  </si>
  <si>
    <t>2446169.945 </t>
  </si>
  <si>
    <t> 14.04.1985 10:40 </t>
  </si>
  <si>
    <t> -0.015 </t>
  </si>
  <si>
    <t> P.Atwood </t>
  </si>
  <si>
    <t>2446208.781 </t>
  </si>
  <si>
    <t> 23.05.1985 06:44 </t>
  </si>
  <si>
    <t> S.Cook </t>
  </si>
  <si>
    <t>2446247.652 </t>
  </si>
  <si>
    <t> 01.07.1985 03:38 </t>
  </si>
  <si>
    <t> 0.040 </t>
  </si>
  <si>
    <t>2446566.844 </t>
  </si>
  <si>
    <t> 16.05.1986 08:15 </t>
  </si>
  <si>
    <t>2446940.719 </t>
  </si>
  <si>
    <t> 25.05.1987 05:15 </t>
  </si>
  <si>
    <t> -0.008 </t>
  </si>
  <si>
    <t>2447344.831 </t>
  </si>
  <si>
    <t> 02.07.1988 07:56 </t>
  </si>
  <si>
    <t>2448762.670 </t>
  </si>
  <si>
    <t> 20.05.1992 04:04 </t>
  </si>
  <si>
    <t> -0.001 </t>
  </si>
  <si>
    <t>2449875.702 </t>
  </si>
  <si>
    <t> 07.06.1995 04:50 </t>
  </si>
  <si>
    <t> 0.020 </t>
  </si>
  <si>
    <t>C </t>
  </si>
  <si>
    <t>2450551.569 </t>
  </si>
  <si>
    <t> 13.04.1997 01:39 </t>
  </si>
  <si>
    <t> 0.028 </t>
  </si>
  <si>
    <t> A.Paschke </t>
  </si>
  <si>
    <t> BBS 116 </t>
  </si>
  <si>
    <t>2451720.6931 </t>
  </si>
  <si>
    <t> 25.06.2000 04:38 </t>
  </si>
  <si>
    <t> 0.0596 </t>
  </si>
  <si>
    <t>ns</t>
  </si>
  <si>
    <t> J.A.Howell </t>
  </si>
  <si>
    <t> AOEB 11 </t>
  </si>
  <si>
    <t>2452042.808 </t>
  </si>
  <si>
    <t> 13.05.2001 07:23 </t>
  </si>
  <si>
    <t> 0.063 </t>
  </si>
  <si>
    <t>2452042.8089 </t>
  </si>
  <si>
    <t> 13.05.2001 07:24 </t>
  </si>
  <si>
    <t> 0.0638 </t>
  </si>
  <si>
    <t>2452045.6844 </t>
  </si>
  <si>
    <t> 16.05.2001 04:25 </t>
  </si>
  <si>
    <t> 0.0633 </t>
  </si>
  <si>
    <t>2452426.7623 </t>
  </si>
  <si>
    <t> 01.06.2002 06:17 </t>
  </si>
  <si>
    <t> 0.0716 </t>
  </si>
  <si>
    <t>2452810.7147 </t>
  </si>
  <si>
    <t> 20.06.2003 05:09 </t>
  </si>
  <si>
    <t> 0.0785 </t>
  </si>
  <si>
    <t>2453450.6372 </t>
  </si>
  <si>
    <t> 21.03.2005 03:17 </t>
  </si>
  <si>
    <t> 0.0917 </t>
  </si>
  <si>
    <t> M. Zejda et al. </t>
  </si>
  <si>
    <t>IBVS 5741 </t>
  </si>
  <si>
    <t>2453526.8560 </t>
  </si>
  <si>
    <t> 05.06.2005 08:32 </t>
  </si>
  <si>
    <t> 0.0966 </t>
  </si>
  <si>
    <t> T. Krajci </t>
  </si>
  <si>
    <t>IBVS 5690 </t>
  </si>
  <si>
    <t>2453529.730 </t>
  </si>
  <si>
    <t> 08.06.2005 05:31 </t>
  </si>
  <si>
    <t> 0.095 </t>
  </si>
  <si>
    <t>2453890.676 </t>
  </si>
  <si>
    <t> 04.06.2006 04:13 </t>
  </si>
  <si>
    <t> 0.103 </t>
  </si>
  <si>
    <t>2454176.8448 </t>
  </si>
  <si>
    <t> 17.03.2007 08:16 </t>
  </si>
  <si>
    <t> 0.1102 </t>
  </si>
  <si>
    <t> AOEB 12 </t>
  </si>
  <si>
    <t>2454212.8004 </t>
  </si>
  <si>
    <t> 22.04.2007 07:12 </t>
  </si>
  <si>
    <t> 0.1158 </t>
  </si>
  <si>
    <t>2454248.7468 </t>
  </si>
  <si>
    <t> 28.05.2007 05:55 </t>
  </si>
  <si>
    <t> 0.1123 </t>
  </si>
  <si>
    <t>2454258.8144 </t>
  </si>
  <si>
    <t> 07.06.2007 07:32 </t>
  </si>
  <si>
    <t> 0.1139 </t>
  </si>
  <si>
    <t> J.Bialozynski </t>
  </si>
  <si>
    <t>2454583.8077 </t>
  </si>
  <si>
    <t> 27.04.2008 07:23 </t>
  </si>
  <si>
    <t> 0.1196 </t>
  </si>
  <si>
    <t>o</t>
  </si>
  <si>
    <t>JAAVSO 36(2);186 </t>
  </si>
  <si>
    <t>2454596.7495 </t>
  </si>
  <si>
    <t> 10.05.2008 05:59 </t>
  </si>
  <si>
    <t> 0.1194 </t>
  </si>
  <si>
    <t>2454980.7001 </t>
  </si>
  <si>
    <t> 29.05.2009 04:48 </t>
  </si>
  <si>
    <t> 0.1244 </t>
  </si>
  <si>
    <t> JAAVSO 38;85 </t>
  </si>
  <si>
    <t>2455660.8829 </t>
  </si>
  <si>
    <t> 09.04.2011 09:11 </t>
  </si>
  <si>
    <t> 0.1340 </t>
  </si>
  <si>
    <t> R.Diethelm </t>
  </si>
  <si>
    <t>IBVS 5992 </t>
  </si>
  <si>
    <t>2456093.7274 </t>
  </si>
  <si>
    <t> 15.06.2012 05:27 </t>
  </si>
  <si>
    <t> 0.1411 </t>
  </si>
  <si>
    <t>IBVS 6029 </t>
  </si>
  <si>
    <t>2456428.7870 </t>
  </si>
  <si>
    <t> 16.05.2013 06:53 </t>
  </si>
  <si>
    <t> 0.1471 </t>
  </si>
  <si>
    <t> JAAVSO 41;328 </t>
  </si>
  <si>
    <t>II</t>
  </si>
  <si>
    <t>BAD?</t>
  </si>
  <si>
    <t>JAVSO..45..215</t>
  </si>
  <si>
    <t>VSB-64</t>
  </si>
  <si>
    <t>JAVSO..46..184</t>
  </si>
  <si>
    <t>JAVSO..47..263</t>
  </si>
  <si>
    <t>JAVSO..48..256</t>
  </si>
  <si>
    <t>VSB 069</t>
  </si>
  <si>
    <t>Ic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</si>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</sst>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2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25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Lib - O-C Diagr.</a:t>
            </a:r>
          </a:p>
        </c:rich>
      </c:tx>
      <c:layout>
        <c:manualLayout>
          <c:xMode val="edge"/>
          <c:yMode val="edge"/>
          <c:x val="0.370767049840695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9794956333131"/>
          <c:y val="0.14769252958613219"/>
          <c:w val="0.7878801593836330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5.0725999972200952E-3</c:v>
                </c:pt>
                <c:pt idx="1">
                  <c:v>7.0997999973769765E-3</c:v>
                </c:pt>
                <c:pt idx="2">
                  <c:v>-3.1896800002868986E-2</c:v>
                </c:pt>
                <c:pt idx="3">
                  <c:v>-1.573800003825454E-3</c:v>
                </c:pt>
                <c:pt idx="4">
                  <c:v>-3.0546600002708146E-2</c:v>
                </c:pt>
                <c:pt idx="5">
                  <c:v>-5.1519400003599003E-2</c:v>
                </c:pt>
                <c:pt idx="6">
                  <c:v>1.5483999999560183E-2</c:v>
                </c:pt>
                <c:pt idx="7">
                  <c:v>3.3578000002307817E-3</c:v>
                </c:pt>
                <c:pt idx="8">
                  <c:v>-1.3608200006274274E-2</c:v>
                </c:pt>
                <c:pt idx="9">
                  <c:v>-1.3227400002506329E-2</c:v>
                </c:pt>
                <c:pt idx="10">
                  <c:v>-7.1577000016986858E-3</c:v>
                </c:pt>
                <c:pt idx="11">
                  <c:v>1.122649999888381E-2</c:v>
                </c:pt>
                <c:pt idx="12">
                  <c:v>8.637899998575449E-3</c:v>
                </c:pt>
                <c:pt idx="14">
                  <c:v>-5.1074000039079692E-3</c:v>
                </c:pt>
                <c:pt idx="15">
                  <c:v>-3.4404000001813984E-2</c:v>
                </c:pt>
                <c:pt idx="17">
                  <c:v>-2.1432400004414376E-2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E-4BF5-9C7E-29208BF157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-1.5646900006686337E-2</c:v>
                </c:pt>
                <c:pt idx="19">
                  <c:v>-8.6044000054243952E-3</c:v>
                </c:pt>
                <c:pt idx="20">
                  <c:v>5.7916999940061942E-3</c:v>
                </c:pt>
                <c:pt idx="21">
                  <c:v>-9.165800001937896E-3</c:v>
                </c:pt>
                <c:pt idx="22">
                  <c:v>-9.165800001937896E-3</c:v>
                </c:pt>
                <c:pt idx="23">
                  <c:v>-1.6912899998715147E-2</c:v>
                </c:pt>
                <c:pt idx="24">
                  <c:v>-4.8960000276565552E-4</c:v>
                </c:pt>
                <c:pt idx="25">
                  <c:v>-4.8960000276565552E-4</c:v>
                </c:pt>
                <c:pt idx="31">
                  <c:v>-2.4806000001262873E-3</c:v>
                </c:pt>
                <c:pt idx="32">
                  <c:v>1.6342199996870477E-2</c:v>
                </c:pt>
                <c:pt idx="33">
                  <c:v>2.6642699995136354E-2</c:v>
                </c:pt>
                <c:pt idx="34">
                  <c:v>6.7005000018980354E-3</c:v>
                </c:pt>
                <c:pt idx="35">
                  <c:v>2.2700499997881707E-2</c:v>
                </c:pt>
                <c:pt idx="36">
                  <c:v>2.6127199991606176E-2</c:v>
                </c:pt>
                <c:pt idx="37">
                  <c:v>-1.5072100002726074E-2</c:v>
                </c:pt>
                <c:pt idx="38">
                  <c:v>-5.026200000429526E-3</c:v>
                </c:pt>
                <c:pt idx="39">
                  <c:v>4.0019699998083524E-2</c:v>
                </c:pt>
                <c:pt idx="40">
                  <c:v>-3.6029000038979575E-3</c:v>
                </c:pt>
                <c:pt idx="41">
                  <c:v>-8.1609000044409186E-3</c:v>
                </c:pt>
                <c:pt idx="42">
                  <c:v>2.6316799994674511E-2</c:v>
                </c:pt>
                <c:pt idx="43">
                  <c:v>-1.0070000062114559E-3</c:v>
                </c:pt>
                <c:pt idx="44">
                  <c:v>2.0308799990743864E-2</c:v>
                </c:pt>
                <c:pt idx="45">
                  <c:v>2.8107799997087568E-2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E-4BF5-9C7E-29208BF157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E-4BF5-9C7E-29208BF157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6">
                  <c:v>-2.7831900006276555E-2</c:v>
                </c:pt>
                <c:pt idx="26">
                  <c:v>-1.6069700002844911E-2</c:v>
                </c:pt>
                <c:pt idx="27">
                  <c:v>-1.3003400003071874E-2</c:v>
                </c:pt>
                <c:pt idx="28">
                  <c:v>-4.0000000008149073E-3</c:v>
                </c:pt>
                <c:pt idx="30">
                  <c:v>-1.7549500000313856E-2</c:v>
                </c:pt>
                <c:pt idx="46">
                  <c:v>5.9589899996353779E-2</c:v>
                </c:pt>
                <c:pt idx="47">
                  <c:v>6.287069999234518E-2</c:v>
                </c:pt>
                <c:pt idx="48">
                  <c:v>6.3770699998713098E-2</c:v>
                </c:pt>
                <c:pt idx="49">
                  <c:v>6.3274099993577693E-2</c:v>
                </c:pt>
                <c:pt idx="50">
                  <c:v>7.1624599993810989E-2</c:v>
                </c:pt>
                <c:pt idx="51">
                  <c:v>7.8478499992343131E-2</c:v>
                </c:pt>
                <c:pt idx="52">
                  <c:v>9.173499999451451E-2</c:v>
                </c:pt>
                <c:pt idx="53">
                  <c:v>9.173499999451451E-2</c:v>
                </c:pt>
                <c:pt idx="54">
                  <c:v>9.662509999179747E-2</c:v>
                </c:pt>
                <c:pt idx="55">
                  <c:v>9.4628500002727378E-2</c:v>
                </c:pt>
                <c:pt idx="56">
                  <c:v>0.1030551999938325</c:v>
                </c:pt>
                <c:pt idx="57">
                  <c:v>0.11019349999696715</c:v>
                </c:pt>
                <c:pt idx="58">
                  <c:v>0.11583599999721628</c:v>
                </c:pt>
                <c:pt idx="59">
                  <c:v>0.11227849999704631</c:v>
                </c:pt>
                <c:pt idx="60">
                  <c:v>0.11389039999630768</c:v>
                </c:pt>
                <c:pt idx="61">
                  <c:v>0.11957459999393905</c:v>
                </c:pt>
                <c:pt idx="62">
                  <c:v>0.11938989999180194</c:v>
                </c:pt>
                <c:pt idx="63">
                  <c:v>0.12444379999942612</c:v>
                </c:pt>
                <c:pt idx="64">
                  <c:v>0.13404789999185596</c:v>
                </c:pt>
                <c:pt idx="65">
                  <c:v>0.1410595999986981</c:v>
                </c:pt>
                <c:pt idx="66">
                  <c:v>0.14705569999205181</c:v>
                </c:pt>
                <c:pt idx="67">
                  <c:v>0.1744604999985313</c:v>
                </c:pt>
                <c:pt idx="68">
                  <c:v>0.17515569999522995</c:v>
                </c:pt>
                <c:pt idx="69">
                  <c:v>0.17712879999453435</c:v>
                </c:pt>
                <c:pt idx="70">
                  <c:v>0.17835599999671103</c:v>
                </c:pt>
                <c:pt idx="71">
                  <c:v>0.18226739999954589</c:v>
                </c:pt>
                <c:pt idx="72">
                  <c:v>0.18413289999443805</c:v>
                </c:pt>
                <c:pt idx="73">
                  <c:v>0.18341279999731341</c:v>
                </c:pt>
                <c:pt idx="74">
                  <c:v>0.17701284999202471</c:v>
                </c:pt>
                <c:pt idx="75">
                  <c:v>0.17801284999586642</c:v>
                </c:pt>
                <c:pt idx="76">
                  <c:v>0.18001284999627387</c:v>
                </c:pt>
                <c:pt idx="77">
                  <c:v>0.18471739999949932</c:v>
                </c:pt>
                <c:pt idx="78">
                  <c:v>0.18733559999236604</c:v>
                </c:pt>
                <c:pt idx="79">
                  <c:v>0.19167929999093758</c:v>
                </c:pt>
                <c:pt idx="80">
                  <c:v>0.19200139999884414</c:v>
                </c:pt>
                <c:pt idx="81">
                  <c:v>0.19421790000342298</c:v>
                </c:pt>
                <c:pt idx="82">
                  <c:v>0.19453999998950167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E-4BF5-9C7E-29208BF157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JAAVSO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E-4BF5-9C7E-29208BF157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E-4BF5-9C7E-29208BF157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E-4BF5-9C7E-29208BF157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3">
                  <c:v>1.0512554278922032E-2</c:v>
                </c:pt>
                <c:pt idx="44">
                  <c:v>2.9724300540768328E-2</c:v>
                </c:pt>
                <c:pt idx="45">
                  <c:v>4.1390348012432104E-2</c:v>
                </c:pt>
                <c:pt idx="46">
                  <c:v>6.1570128000650509E-2</c:v>
                </c:pt>
                <c:pt idx="47">
                  <c:v>6.7130116582890281E-2</c:v>
                </c:pt>
                <c:pt idx="48">
                  <c:v>6.7130116582890281E-2</c:v>
                </c:pt>
                <c:pt idx="49">
                  <c:v>6.717975933808884E-2</c:v>
                </c:pt>
                <c:pt idx="50">
                  <c:v>7.3757424401899252E-2</c:v>
                </c:pt>
                <c:pt idx="51">
                  <c:v>8.038473222090825E-2</c:v>
                </c:pt>
                <c:pt idx="52">
                  <c:v>9.1430245252589915E-2</c:v>
                </c:pt>
                <c:pt idx="53">
                  <c:v>9.1430245252589915E-2</c:v>
                </c:pt>
                <c:pt idx="54">
                  <c:v>9.2745778265352019E-2</c:v>
                </c:pt>
                <c:pt idx="55">
                  <c:v>9.2795421020550578E-2</c:v>
                </c:pt>
                <c:pt idx="56">
                  <c:v>9.9025586797971021E-2</c:v>
                </c:pt>
                <c:pt idx="57">
                  <c:v>0.10396504094022865</c:v>
                </c:pt>
                <c:pt idx="58">
                  <c:v>0.10458557538021077</c:v>
                </c:pt>
                <c:pt idx="59">
                  <c:v>0.10520610982019291</c:v>
                </c:pt>
                <c:pt idx="60">
                  <c:v>0.10537985946338788</c:v>
                </c:pt>
                <c:pt idx="61">
                  <c:v>0.11098949080082621</c:v>
                </c:pt>
                <c:pt idx="62">
                  <c:v>0.11121288319921976</c:v>
                </c:pt>
                <c:pt idx="63">
                  <c:v>0.11784019101822876</c:v>
                </c:pt>
                <c:pt idx="64">
                  <c:v>0.12958070262269039</c:v>
                </c:pt>
                <c:pt idx="65">
                  <c:v>0.13705193728007509</c:v>
                </c:pt>
                <c:pt idx="66">
                  <c:v>0.14283531826070839</c:v>
                </c:pt>
                <c:pt idx="67">
                  <c:v>0.16626669871443311</c:v>
                </c:pt>
                <c:pt idx="68">
                  <c:v>0.16765669585999304</c:v>
                </c:pt>
                <c:pt idx="69">
                  <c:v>0.16872401509676227</c:v>
                </c:pt>
                <c:pt idx="70">
                  <c:v>0.1691211571383508</c:v>
                </c:pt>
                <c:pt idx="71">
                  <c:v>0.17512793051737768</c:v>
                </c:pt>
                <c:pt idx="72">
                  <c:v>0.18046452670122393</c:v>
                </c:pt>
                <c:pt idx="73">
                  <c:v>0.18163113144839027</c:v>
                </c:pt>
                <c:pt idx="74">
                  <c:v>0.186012104594664</c:v>
                </c:pt>
                <c:pt idx="75">
                  <c:v>0.186012104594664</c:v>
                </c:pt>
                <c:pt idx="76">
                  <c:v>0.186012104594664</c:v>
                </c:pt>
                <c:pt idx="77">
                  <c:v>0.18753861931702004</c:v>
                </c:pt>
                <c:pt idx="78">
                  <c:v>0.19364467820644404</c:v>
                </c:pt>
                <c:pt idx="79">
                  <c:v>0.20012305775985734</c:v>
                </c:pt>
                <c:pt idx="80">
                  <c:v>0.20044573566864804</c:v>
                </c:pt>
                <c:pt idx="81">
                  <c:v>0.20652697318047275</c:v>
                </c:pt>
                <c:pt idx="82">
                  <c:v>0.20684965108926345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5E-4BF5-9C7E-29208BF157EB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3">
                  <c:v>0.23794264999742154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5E-4BF5-9C7E-29208BF1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624"/>
        <c:axId val="1"/>
      </c:scatterChart>
      <c:valAx>
        <c:axId val="95237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25756406117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171310137035004E-2"/>
          <c:y val="0.92000129214617399"/>
          <c:w val="0.9287004365096074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Lib - O-C Diagr.</a:t>
            </a:r>
          </a:p>
        </c:rich>
      </c:tx>
      <c:layout>
        <c:manualLayout>
          <c:xMode val="edge"/>
          <c:yMode val="edge"/>
          <c:x val="0.370767049840695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9794956333131"/>
          <c:y val="0.14769252958613219"/>
          <c:w val="0.7878801593836330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5.0725999972200952E-3</c:v>
                </c:pt>
                <c:pt idx="1">
                  <c:v>7.0997999973769765E-3</c:v>
                </c:pt>
                <c:pt idx="2">
                  <c:v>-3.1896800002868986E-2</c:v>
                </c:pt>
                <c:pt idx="3">
                  <c:v>-1.573800003825454E-3</c:v>
                </c:pt>
                <c:pt idx="4">
                  <c:v>-3.0546600002708146E-2</c:v>
                </c:pt>
                <c:pt idx="5">
                  <c:v>-5.1519400003599003E-2</c:v>
                </c:pt>
                <c:pt idx="6">
                  <c:v>1.5483999999560183E-2</c:v>
                </c:pt>
                <c:pt idx="7">
                  <c:v>3.3578000002307817E-3</c:v>
                </c:pt>
                <c:pt idx="8">
                  <c:v>-1.3608200006274274E-2</c:v>
                </c:pt>
                <c:pt idx="9">
                  <c:v>-1.3227400002506329E-2</c:v>
                </c:pt>
                <c:pt idx="10">
                  <c:v>-7.1577000016986858E-3</c:v>
                </c:pt>
                <c:pt idx="11">
                  <c:v>1.122649999888381E-2</c:v>
                </c:pt>
                <c:pt idx="12">
                  <c:v>8.637899998575449E-3</c:v>
                </c:pt>
                <c:pt idx="14">
                  <c:v>-5.1074000039079692E-3</c:v>
                </c:pt>
                <c:pt idx="15">
                  <c:v>-3.4404000001813984E-2</c:v>
                </c:pt>
                <c:pt idx="17">
                  <c:v>-2.1432400004414376E-2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97-4149-BFBF-43EB5E9069A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-1.5646900006686337E-2</c:v>
                </c:pt>
                <c:pt idx="19">
                  <c:v>-8.6044000054243952E-3</c:v>
                </c:pt>
                <c:pt idx="20">
                  <c:v>5.7916999940061942E-3</c:v>
                </c:pt>
                <c:pt idx="21">
                  <c:v>-9.165800001937896E-3</c:v>
                </c:pt>
                <c:pt idx="22">
                  <c:v>-9.165800001937896E-3</c:v>
                </c:pt>
                <c:pt idx="23">
                  <c:v>-1.6912899998715147E-2</c:v>
                </c:pt>
                <c:pt idx="24">
                  <c:v>-4.8960000276565552E-4</c:v>
                </c:pt>
                <c:pt idx="25">
                  <c:v>-4.8960000276565552E-4</c:v>
                </c:pt>
                <c:pt idx="31">
                  <c:v>-2.4806000001262873E-3</c:v>
                </c:pt>
                <c:pt idx="32">
                  <c:v>1.6342199996870477E-2</c:v>
                </c:pt>
                <c:pt idx="33">
                  <c:v>2.6642699995136354E-2</c:v>
                </c:pt>
                <c:pt idx="34">
                  <c:v>6.7005000018980354E-3</c:v>
                </c:pt>
                <c:pt idx="35">
                  <c:v>2.2700499997881707E-2</c:v>
                </c:pt>
                <c:pt idx="36">
                  <c:v>2.6127199991606176E-2</c:v>
                </c:pt>
                <c:pt idx="37">
                  <c:v>-1.5072100002726074E-2</c:v>
                </c:pt>
                <c:pt idx="38">
                  <c:v>-5.026200000429526E-3</c:v>
                </c:pt>
                <c:pt idx="39">
                  <c:v>4.0019699998083524E-2</c:v>
                </c:pt>
                <c:pt idx="40">
                  <c:v>-3.6029000038979575E-3</c:v>
                </c:pt>
                <c:pt idx="41">
                  <c:v>-8.1609000044409186E-3</c:v>
                </c:pt>
                <c:pt idx="42">
                  <c:v>2.6316799994674511E-2</c:v>
                </c:pt>
                <c:pt idx="43">
                  <c:v>-1.0070000062114559E-3</c:v>
                </c:pt>
                <c:pt idx="44">
                  <c:v>2.0308799990743864E-2</c:v>
                </c:pt>
                <c:pt idx="45">
                  <c:v>2.8107799997087568E-2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97-4149-BFBF-43EB5E9069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97-4149-BFBF-43EB5E9069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6">
                  <c:v>-2.7831900006276555E-2</c:v>
                </c:pt>
                <c:pt idx="26">
                  <c:v>-1.6069700002844911E-2</c:v>
                </c:pt>
                <c:pt idx="27">
                  <c:v>-1.3003400003071874E-2</c:v>
                </c:pt>
                <c:pt idx="28">
                  <c:v>-4.0000000008149073E-3</c:v>
                </c:pt>
                <c:pt idx="30">
                  <c:v>-1.7549500000313856E-2</c:v>
                </c:pt>
                <c:pt idx="46">
                  <c:v>5.9589899996353779E-2</c:v>
                </c:pt>
                <c:pt idx="47">
                  <c:v>6.287069999234518E-2</c:v>
                </c:pt>
                <c:pt idx="48">
                  <c:v>6.3770699998713098E-2</c:v>
                </c:pt>
                <c:pt idx="49">
                  <c:v>6.3274099993577693E-2</c:v>
                </c:pt>
                <c:pt idx="50">
                  <c:v>7.1624599993810989E-2</c:v>
                </c:pt>
                <c:pt idx="51">
                  <c:v>7.8478499992343131E-2</c:v>
                </c:pt>
                <c:pt idx="52">
                  <c:v>9.173499999451451E-2</c:v>
                </c:pt>
                <c:pt idx="53">
                  <c:v>9.173499999451451E-2</c:v>
                </c:pt>
                <c:pt idx="54">
                  <c:v>9.662509999179747E-2</c:v>
                </c:pt>
                <c:pt idx="55">
                  <c:v>9.4628500002727378E-2</c:v>
                </c:pt>
                <c:pt idx="56">
                  <c:v>0.1030551999938325</c:v>
                </c:pt>
                <c:pt idx="57">
                  <c:v>0.11019349999696715</c:v>
                </c:pt>
                <c:pt idx="58">
                  <c:v>0.11583599999721628</c:v>
                </c:pt>
                <c:pt idx="59">
                  <c:v>0.11227849999704631</c:v>
                </c:pt>
                <c:pt idx="60">
                  <c:v>0.11389039999630768</c:v>
                </c:pt>
                <c:pt idx="61">
                  <c:v>0.11957459999393905</c:v>
                </c:pt>
                <c:pt idx="62">
                  <c:v>0.11938989999180194</c:v>
                </c:pt>
                <c:pt idx="63">
                  <c:v>0.12444379999942612</c:v>
                </c:pt>
                <c:pt idx="64">
                  <c:v>0.13404789999185596</c:v>
                </c:pt>
                <c:pt idx="65">
                  <c:v>0.1410595999986981</c:v>
                </c:pt>
                <c:pt idx="66">
                  <c:v>0.14705569999205181</c:v>
                </c:pt>
                <c:pt idx="67">
                  <c:v>0.1744604999985313</c:v>
                </c:pt>
                <c:pt idx="68">
                  <c:v>0.17515569999522995</c:v>
                </c:pt>
                <c:pt idx="69">
                  <c:v>0.17712879999453435</c:v>
                </c:pt>
                <c:pt idx="70">
                  <c:v>0.17835599999671103</c:v>
                </c:pt>
                <c:pt idx="71">
                  <c:v>0.18226739999954589</c:v>
                </c:pt>
                <c:pt idx="72">
                  <c:v>0.18413289999443805</c:v>
                </c:pt>
                <c:pt idx="73">
                  <c:v>0.18341279999731341</c:v>
                </c:pt>
                <c:pt idx="74">
                  <c:v>0.17701284999202471</c:v>
                </c:pt>
                <c:pt idx="75">
                  <c:v>0.17801284999586642</c:v>
                </c:pt>
                <c:pt idx="76">
                  <c:v>0.18001284999627387</c:v>
                </c:pt>
                <c:pt idx="77">
                  <c:v>0.18471739999949932</c:v>
                </c:pt>
                <c:pt idx="78">
                  <c:v>0.18733559999236604</c:v>
                </c:pt>
                <c:pt idx="79">
                  <c:v>0.19167929999093758</c:v>
                </c:pt>
                <c:pt idx="80">
                  <c:v>0.19200139999884414</c:v>
                </c:pt>
                <c:pt idx="81">
                  <c:v>0.19421790000342298</c:v>
                </c:pt>
                <c:pt idx="82">
                  <c:v>0.19453999998950167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97-4149-BFBF-43EB5E9069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JAAVSO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97-4149-BFBF-43EB5E9069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97-4149-BFBF-43EB5E9069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97-4149-BFBF-43EB5E9069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3">
                  <c:v>1.0512554278922032E-2</c:v>
                </c:pt>
                <c:pt idx="44">
                  <c:v>2.9724300540768328E-2</c:v>
                </c:pt>
                <c:pt idx="45">
                  <c:v>4.1390348012432104E-2</c:v>
                </c:pt>
                <c:pt idx="46">
                  <c:v>6.1570128000650509E-2</c:v>
                </c:pt>
                <c:pt idx="47">
                  <c:v>6.7130116582890281E-2</c:v>
                </c:pt>
                <c:pt idx="48">
                  <c:v>6.7130116582890281E-2</c:v>
                </c:pt>
                <c:pt idx="49">
                  <c:v>6.717975933808884E-2</c:v>
                </c:pt>
                <c:pt idx="50">
                  <c:v>7.3757424401899252E-2</c:v>
                </c:pt>
                <c:pt idx="51">
                  <c:v>8.038473222090825E-2</c:v>
                </c:pt>
                <c:pt idx="52">
                  <c:v>9.1430245252589915E-2</c:v>
                </c:pt>
                <c:pt idx="53">
                  <c:v>9.1430245252589915E-2</c:v>
                </c:pt>
                <c:pt idx="54">
                  <c:v>9.2745778265352019E-2</c:v>
                </c:pt>
                <c:pt idx="55">
                  <c:v>9.2795421020550578E-2</c:v>
                </c:pt>
                <c:pt idx="56">
                  <c:v>9.9025586797971021E-2</c:v>
                </c:pt>
                <c:pt idx="57">
                  <c:v>0.10396504094022865</c:v>
                </c:pt>
                <c:pt idx="58">
                  <c:v>0.10458557538021077</c:v>
                </c:pt>
                <c:pt idx="59">
                  <c:v>0.10520610982019291</c:v>
                </c:pt>
                <c:pt idx="60">
                  <c:v>0.10537985946338788</c:v>
                </c:pt>
                <c:pt idx="61">
                  <c:v>0.11098949080082621</c:v>
                </c:pt>
                <c:pt idx="62">
                  <c:v>0.11121288319921976</c:v>
                </c:pt>
                <c:pt idx="63">
                  <c:v>0.11784019101822876</c:v>
                </c:pt>
                <c:pt idx="64">
                  <c:v>0.12958070262269039</c:v>
                </c:pt>
                <c:pt idx="65">
                  <c:v>0.13705193728007509</c:v>
                </c:pt>
                <c:pt idx="66">
                  <c:v>0.14283531826070839</c:v>
                </c:pt>
                <c:pt idx="67">
                  <c:v>0.16626669871443311</c:v>
                </c:pt>
                <c:pt idx="68">
                  <c:v>0.16765669585999304</c:v>
                </c:pt>
                <c:pt idx="69">
                  <c:v>0.16872401509676227</c:v>
                </c:pt>
                <c:pt idx="70">
                  <c:v>0.1691211571383508</c:v>
                </c:pt>
                <c:pt idx="71">
                  <c:v>0.17512793051737768</c:v>
                </c:pt>
                <c:pt idx="72">
                  <c:v>0.18046452670122393</c:v>
                </c:pt>
                <c:pt idx="73">
                  <c:v>0.18163113144839027</c:v>
                </c:pt>
                <c:pt idx="74">
                  <c:v>0.186012104594664</c:v>
                </c:pt>
                <c:pt idx="75">
                  <c:v>0.186012104594664</c:v>
                </c:pt>
                <c:pt idx="76">
                  <c:v>0.186012104594664</c:v>
                </c:pt>
                <c:pt idx="77">
                  <c:v>0.18753861931702004</c:v>
                </c:pt>
                <c:pt idx="78">
                  <c:v>0.19364467820644404</c:v>
                </c:pt>
                <c:pt idx="79">
                  <c:v>0.20012305775985734</c:v>
                </c:pt>
                <c:pt idx="80">
                  <c:v>0.20044573566864804</c:v>
                </c:pt>
                <c:pt idx="81">
                  <c:v>0.20652697318047275</c:v>
                </c:pt>
                <c:pt idx="82">
                  <c:v>0.20684965108926345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97-4149-BFBF-43EB5E9069A9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3">
                  <c:v>0.23794264999742154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97-4149-BFBF-43EB5E90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624"/>
        <c:axId val="1"/>
      </c:scatterChart>
      <c:valAx>
        <c:axId val="95237662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25756406117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171310137035004E-2"/>
          <c:y val="0.92000129214617399"/>
          <c:w val="0.9287004365096074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295275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940368A-53B4-8E98-CAB8-16166346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0</xdr:rowOff>
    </xdr:from>
    <xdr:to>
      <xdr:col>27</xdr:col>
      <xdr:colOff>19050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4F5E22-95E7-4AFE-8DC9-DA8079CF9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3" Type="http://schemas.openxmlformats.org/officeDocument/2006/relationships/hyperlink" Target="http://www.konkoly.hu/cgi-bin/IBVS?154" TargetMode="External"/><Relationship Id="rId7" Type="http://schemas.openxmlformats.org/officeDocument/2006/relationships/hyperlink" Target="http://www.aavso.org/sites/default/files/jaavso/v36n2/186.pdf" TargetMode="External"/><Relationship Id="rId2" Type="http://schemas.openxmlformats.org/officeDocument/2006/relationships/hyperlink" Target="http://www.konkoly.hu/cgi-bin/IBVS?111" TargetMode="External"/><Relationship Id="rId1" Type="http://schemas.openxmlformats.org/officeDocument/2006/relationships/hyperlink" Target="http://www.konkoly.hu/cgi-bin/IBVS?111" TargetMode="External"/><Relationship Id="rId6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154" TargetMode="External"/><Relationship Id="rId9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2"/>
  <sheetViews>
    <sheetView tabSelected="1" workbookViewId="0">
      <pane xSplit="14" ySplit="22" topLeftCell="O8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7109375" customWidth="1"/>
    <col min="2" max="2" width="5.140625" customWidth="1"/>
    <col min="3" max="3" width="13.5703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s="29" customFormat="1" ht="12.95" customHeight="1" x14ac:dyDescent="0.2">
      <c r="A2" s="29" t="s">
        <v>24</v>
      </c>
      <c r="B2" s="30" t="s">
        <v>47</v>
      </c>
    </row>
    <row r="3" spans="1:6" s="29" customFormat="1" ht="12.95" customHeight="1" x14ac:dyDescent="0.2"/>
    <row r="4" spans="1:6" s="29" customFormat="1" ht="12.95" customHeight="1" thickTop="1" thickBot="1" x14ac:dyDescent="0.25">
      <c r="A4" s="31" t="s">
        <v>0</v>
      </c>
      <c r="C4" s="32">
        <v>41155.660000000003</v>
      </c>
      <c r="D4" s="33">
        <v>1.4379983000000001</v>
      </c>
    </row>
    <row r="5" spans="1:6" s="29" customFormat="1" ht="12.95" customHeight="1" thickTop="1" x14ac:dyDescent="0.2">
      <c r="A5" s="34" t="s">
        <v>52</v>
      </c>
      <c r="C5" s="35">
        <v>-9.5</v>
      </c>
      <c r="D5" s="29" t="s">
        <v>53</v>
      </c>
    </row>
    <row r="6" spans="1:6" s="29" customFormat="1" ht="12.95" customHeight="1" x14ac:dyDescent="0.2">
      <c r="A6" s="31" t="s">
        <v>1</v>
      </c>
    </row>
    <row r="7" spans="1:6" s="29" customFormat="1" ht="12.95" customHeight="1" x14ac:dyDescent="0.2">
      <c r="A7" s="29" t="s">
        <v>2</v>
      </c>
      <c r="C7" s="29">
        <f>+C4</f>
        <v>41155.660000000003</v>
      </c>
    </row>
    <row r="8" spans="1:6" s="29" customFormat="1" ht="12.95" customHeight="1" x14ac:dyDescent="0.2">
      <c r="A8" s="29" t="s">
        <v>3</v>
      </c>
      <c r="C8" s="29">
        <f>+D4</f>
        <v>1.4379983000000001</v>
      </c>
    </row>
    <row r="9" spans="1:6" s="29" customFormat="1" ht="12.95" customHeight="1" x14ac:dyDescent="0.2">
      <c r="A9" s="36" t="s">
        <v>61</v>
      </c>
      <c r="B9" s="37">
        <v>64</v>
      </c>
      <c r="C9" s="38" t="str">
        <f>"F"&amp;B9</f>
        <v>F64</v>
      </c>
      <c r="D9" s="39" t="str">
        <f>"G"&amp;B9</f>
        <v>G64</v>
      </c>
    </row>
    <row r="10" spans="1:6" s="29" customFormat="1" ht="12.95" customHeight="1" thickBot="1" x14ac:dyDescent="0.25">
      <c r="C10" s="40" t="s">
        <v>20</v>
      </c>
      <c r="D10" s="40" t="s">
        <v>21</v>
      </c>
    </row>
    <row r="11" spans="1:6" s="29" customFormat="1" ht="12.95" customHeight="1" x14ac:dyDescent="0.2">
      <c r="A11" s="29" t="s">
        <v>16</v>
      </c>
      <c r="C11" s="39">
        <f ca="1">INTERCEPT(INDIRECT($D$9):G990,INDIRECT($C$9):F990)</f>
        <v>-0.12079253322129369</v>
      </c>
      <c r="D11" s="41"/>
    </row>
    <row r="12" spans="1:6" s="29" customFormat="1" ht="12.95" customHeight="1" x14ac:dyDescent="0.2">
      <c r="A12" s="29" t="s">
        <v>17</v>
      </c>
      <c r="C12" s="39">
        <f ca="1">SLOPE(INDIRECT($D$9):G990,INDIRECT($C$9):F990)</f>
        <v>2.4821377599284633E-5</v>
      </c>
      <c r="D12" s="41"/>
    </row>
    <row r="13" spans="1:6" s="29" customFormat="1" ht="12.95" customHeight="1" x14ac:dyDescent="0.2">
      <c r="A13" s="29" t="s">
        <v>19</v>
      </c>
      <c r="C13" s="41" t="s">
        <v>14</v>
      </c>
    </row>
    <row r="14" spans="1:6" s="29" customFormat="1" ht="12.95" customHeight="1" x14ac:dyDescent="0.2"/>
    <row r="15" spans="1:6" s="29" customFormat="1" ht="12.95" customHeight="1" x14ac:dyDescent="0.2">
      <c r="A15" s="42" t="s">
        <v>18</v>
      </c>
      <c r="C15" s="43">
        <f ca="1">(C7+C11)+(C8+C12)*INT(MAX(F21:F3531))</f>
        <v>60137.4444096511</v>
      </c>
      <c r="E15" s="44" t="s">
        <v>62</v>
      </c>
      <c r="F15" s="35">
        <v>1</v>
      </c>
    </row>
    <row r="16" spans="1:6" s="29" customFormat="1" ht="12.95" customHeight="1" x14ac:dyDescent="0.2">
      <c r="A16" s="31" t="s">
        <v>4</v>
      </c>
      <c r="C16" s="45">
        <f ca="1">+C8+C12</f>
        <v>1.4380231213775994</v>
      </c>
      <c r="E16" s="44" t="s">
        <v>54</v>
      </c>
      <c r="F16" s="46">
        <f ca="1">NOW()+15018.5+$C$5/24</f>
        <v>60358.740316550924</v>
      </c>
    </row>
    <row r="17" spans="1:21" s="29" customFormat="1" ht="12.95" customHeight="1" thickBot="1" x14ac:dyDescent="0.25">
      <c r="A17" s="44" t="s">
        <v>50</v>
      </c>
      <c r="C17" s="29">
        <f>COUNT(C21:C2189)</f>
        <v>83</v>
      </c>
      <c r="E17" s="44" t="s">
        <v>63</v>
      </c>
      <c r="F17" s="46">
        <f ca="1">ROUND(2*(F16-$C$7)/$C$8,0)/2+F15</f>
        <v>13355</v>
      </c>
    </row>
    <row r="18" spans="1:21" s="29" customFormat="1" ht="12.95" customHeight="1" thickTop="1" thickBot="1" x14ac:dyDescent="0.25">
      <c r="A18" s="31" t="s">
        <v>5</v>
      </c>
      <c r="C18" s="32">
        <f ca="1">+C15</f>
        <v>60137.4444096511</v>
      </c>
      <c r="D18" s="33">
        <f ca="1">+C16</f>
        <v>1.4380231213775994</v>
      </c>
      <c r="E18" s="44" t="s">
        <v>55</v>
      </c>
      <c r="F18" s="39">
        <f ca="1">ROUND(2*(F16-$C$15)/$C$16,0)/2+F15</f>
        <v>155</v>
      </c>
    </row>
    <row r="19" spans="1:21" s="29" customFormat="1" ht="12.95" customHeight="1" thickTop="1" x14ac:dyDescent="0.2">
      <c r="E19" s="44" t="s">
        <v>56</v>
      </c>
      <c r="F19" s="47">
        <f ca="1">+$C$15+$C$16*F18-15018.5-$C$5/24</f>
        <v>45342.233826797965</v>
      </c>
    </row>
    <row r="20" spans="1:21" s="29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48" t="s">
        <v>77</v>
      </c>
      <c r="I20" s="48" t="s">
        <v>80</v>
      </c>
      <c r="J20" s="48" t="s">
        <v>74</v>
      </c>
      <c r="K20" s="48" t="s">
        <v>72</v>
      </c>
      <c r="L20" s="48" t="s">
        <v>46</v>
      </c>
      <c r="M20" s="48" t="s">
        <v>25</v>
      </c>
      <c r="N20" s="48" t="s">
        <v>26</v>
      </c>
      <c r="O20" s="48" t="s">
        <v>23</v>
      </c>
      <c r="P20" s="49" t="s">
        <v>22</v>
      </c>
      <c r="Q20" s="40" t="s">
        <v>15</v>
      </c>
      <c r="U20" s="50" t="s">
        <v>314</v>
      </c>
    </row>
    <row r="21" spans="1:21" s="29" customFormat="1" ht="12.95" customHeight="1" x14ac:dyDescent="0.2">
      <c r="A21" s="51" t="s">
        <v>87</v>
      </c>
      <c r="B21" s="52" t="s">
        <v>58</v>
      </c>
      <c r="C21" s="53">
        <v>24299.449000000001</v>
      </c>
      <c r="D21" s="54"/>
      <c r="E21" s="55">
        <f t="shared" ref="E21:E52" si="0">+(C21-C$7)/C$8</f>
        <v>-11721.996472457584</v>
      </c>
      <c r="F21" s="29">
        <f t="shared" ref="F21:F52" si="1">ROUND(2*E21,0)/2</f>
        <v>-11722</v>
      </c>
      <c r="G21" s="29">
        <f t="shared" ref="G21:G33" si="2">+C21-(C$7+F21*C$8)</f>
        <v>5.0725999972200952E-3</v>
      </c>
      <c r="H21" s="29">
        <f t="shared" ref="H21:H33" si="3">+G21</f>
        <v>5.0725999972200952E-3</v>
      </c>
      <c r="Q21" s="56">
        <f t="shared" ref="Q21:Q52" si="4">+C21-15018.5</f>
        <v>9280.9490000000005</v>
      </c>
    </row>
    <row r="22" spans="1:21" s="29" customFormat="1" ht="12.95" customHeight="1" x14ac:dyDescent="0.2">
      <c r="A22" s="51" t="s">
        <v>91</v>
      </c>
      <c r="B22" s="52" t="s">
        <v>58</v>
      </c>
      <c r="C22" s="53">
        <v>24322.458999999999</v>
      </c>
      <c r="D22" s="54"/>
      <c r="E22" s="55">
        <f t="shared" si="0"/>
        <v>-11705.995062720174</v>
      </c>
      <c r="F22" s="29">
        <f t="shared" si="1"/>
        <v>-11706</v>
      </c>
      <c r="G22" s="29">
        <f t="shared" si="2"/>
        <v>7.0997999973769765E-3</v>
      </c>
      <c r="H22" s="29">
        <f t="shared" si="3"/>
        <v>7.0997999973769765E-3</v>
      </c>
      <c r="Q22" s="56">
        <f t="shared" si="4"/>
        <v>9303.9589999999989</v>
      </c>
    </row>
    <row r="23" spans="1:21" s="29" customFormat="1" ht="12.95" customHeight="1" x14ac:dyDescent="0.2">
      <c r="A23" s="51" t="s">
        <v>91</v>
      </c>
      <c r="B23" s="52" t="s">
        <v>58</v>
      </c>
      <c r="C23" s="53">
        <v>24325.295999999998</v>
      </c>
      <c r="D23" s="54"/>
      <c r="E23" s="55">
        <f t="shared" si="0"/>
        <v>-11704.022181389229</v>
      </c>
      <c r="F23" s="29">
        <f t="shared" si="1"/>
        <v>-11704</v>
      </c>
      <c r="G23" s="29">
        <f t="shared" si="2"/>
        <v>-3.1896800002868986E-2</v>
      </c>
      <c r="H23" s="29">
        <f t="shared" si="3"/>
        <v>-3.1896800002868986E-2</v>
      </c>
      <c r="Q23" s="56">
        <f t="shared" si="4"/>
        <v>9306.7959999999985</v>
      </c>
    </row>
    <row r="24" spans="1:21" s="29" customFormat="1" ht="12.95" customHeight="1" x14ac:dyDescent="0.2">
      <c r="A24" s="51" t="s">
        <v>91</v>
      </c>
      <c r="B24" s="52" t="s">
        <v>58</v>
      </c>
      <c r="C24" s="53">
        <v>24598.545999999998</v>
      </c>
      <c r="D24" s="54"/>
      <c r="E24" s="55">
        <f t="shared" si="0"/>
        <v>-11514.001094438014</v>
      </c>
      <c r="F24" s="29">
        <f t="shared" si="1"/>
        <v>-11514</v>
      </c>
      <c r="G24" s="29">
        <f t="shared" si="2"/>
        <v>-1.573800003825454E-3</v>
      </c>
      <c r="H24" s="29">
        <f t="shared" si="3"/>
        <v>-1.573800003825454E-3</v>
      </c>
      <c r="Q24" s="56">
        <f t="shared" si="4"/>
        <v>9580.0459999999985</v>
      </c>
    </row>
    <row r="25" spans="1:21" s="29" customFormat="1" ht="12.95" customHeight="1" x14ac:dyDescent="0.2">
      <c r="A25" s="51" t="s">
        <v>91</v>
      </c>
      <c r="B25" s="52" t="s">
        <v>58</v>
      </c>
      <c r="C25" s="53">
        <v>24621.525000000001</v>
      </c>
      <c r="D25" s="54"/>
      <c r="E25" s="55">
        <f t="shared" si="0"/>
        <v>-11498.021242445142</v>
      </c>
      <c r="F25" s="29">
        <f t="shared" si="1"/>
        <v>-11498</v>
      </c>
      <c r="G25" s="29">
        <f t="shared" si="2"/>
        <v>-3.0546600002708146E-2</v>
      </c>
      <c r="H25" s="29">
        <f t="shared" si="3"/>
        <v>-3.0546600002708146E-2</v>
      </c>
      <c r="Q25" s="56">
        <f t="shared" si="4"/>
        <v>9603.0250000000015</v>
      </c>
    </row>
    <row r="26" spans="1:21" s="29" customFormat="1" ht="12.95" customHeight="1" x14ac:dyDescent="0.2">
      <c r="A26" s="51" t="s">
        <v>91</v>
      </c>
      <c r="B26" s="52" t="s">
        <v>58</v>
      </c>
      <c r="C26" s="53">
        <v>24644.511999999999</v>
      </c>
      <c r="D26" s="54"/>
      <c r="E26" s="55">
        <f t="shared" si="0"/>
        <v>-11482.035827163359</v>
      </c>
      <c r="F26" s="29">
        <f t="shared" si="1"/>
        <v>-11482</v>
      </c>
      <c r="G26" s="29">
        <f t="shared" si="2"/>
        <v>-5.1519400003599003E-2</v>
      </c>
      <c r="H26" s="29">
        <f t="shared" si="3"/>
        <v>-5.1519400003599003E-2</v>
      </c>
      <c r="Q26" s="56">
        <f t="shared" si="4"/>
        <v>9626.0119999999988</v>
      </c>
    </row>
    <row r="27" spans="1:21" s="29" customFormat="1" ht="12.95" customHeight="1" x14ac:dyDescent="0.2">
      <c r="A27" s="51" t="s">
        <v>91</v>
      </c>
      <c r="B27" s="52" t="s">
        <v>58</v>
      </c>
      <c r="C27" s="53">
        <v>24647.455000000002</v>
      </c>
      <c r="D27" s="54"/>
      <c r="E27" s="55">
        <f t="shared" si="0"/>
        <v>-11479.989232254309</v>
      </c>
      <c r="F27" s="29">
        <f t="shared" si="1"/>
        <v>-11480</v>
      </c>
      <c r="G27" s="29">
        <f t="shared" si="2"/>
        <v>1.5483999999560183E-2</v>
      </c>
      <c r="H27" s="29">
        <f t="shared" si="3"/>
        <v>1.5483999999560183E-2</v>
      </c>
      <c r="Q27" s="56">
        <f t="shared" si="4"/>
        <v>9628.9550000000017</v>
      </c>
    </row>
    <row r="28" spans="1:21" s="29" customFormat="1" ht="12.95" customHeight="1" x14ac:dyDescent="0.2">
      <c r="A28" s="51" t="s">
        <v>91</v>
      </c>
      <c r="B28" s="52" t="s">
        <v>58</v>
      </c>
      <c r="C28" s="53">
        <v>25386.574000000001</v>
      </c>
      <c r="D28" s="54"/>
      <c r="E28" s="55">
        <f t="shared" si="0"/>
        <v>-10965.997664948562</v>
      </c>
      <c r="F28" s="29">
        <f t="shared" si="1"/>
        <v>-10966</v>
      </c>
      <c r="G28" s="29">
        <f t="shared" si="2"/>
        <v>3.3578000002307817E-3</v>
      </c>
      <c r="H28" s="29">
        <f t="shared" si="3"/>
        <v>3.3578000002307817E-3</v>
      </c>
      <c r="Q28" s="56">
        <f t="shared" si="4"/>
        <v>10368.074000000001</v>
      </c>
    </row>
    <row r="29" spans="1:21" s="29" customFormat="1" ht="12.95" customHeight="1" x14ac:dyDescent="0.2">
      <c r="A29" s="51" t="s">
        <v>114</v>
      </c>
      <c r="B29" s="52" t="s">
        <v>58</v>
      </c>
      <c r="C29" s="53">
        <v>25415.316999999999</v>
      </c>
      <c r="D29" s="54"/>
      <c r="E29" s="55">
        <f t="shared" si="0"/>
        <v>-10946.009463293527</v>
      </c>
      <c r="F29" s="29">
        <f t="shared" si="1"/>
        <v>-10946</v>
      </c>
      <c r="G29" s="29">
        <f t="shared" si="2"/>
        <v>-1.3608200006274274E-2</v>
      </c>
      <c r="H29" s="29">
        <f t="shared" si="3"/>
        <v>-1.3608200006274274E-2</v>
      </c>
      <c r="Q29" s="56">
        <f t="shared" si="4"/>
        <v>10396.816999999999</v>
      </c>
    </row>
    <row r="30" spans="1:21" s="29" customFormat="1" ht="12.95" customHeight="1" x14ac:dyDescent="0.2">
      <c r="A30" s="51" t="s">
        <v>91</v>
      </c>
      <c r="B30" s="52" t="s">
        <v>58</v>
      </c>
      <c r="C30" s="53">
        <v>25737.429</v>
      </c>
      <c r="D30" s="54"/>
      <c r="E30" s="55">
        <f t="shared" si="0"/>
        <v>-10722.009198480973</v>
      </c>
      <c r="F30" s="29">
        <f t="shared" si="1"/>
        <v>-10722</v>
      </c>
      <c r="G30" s="29">
        <f t="shared" si="2"/>
        <v>-1.3227400002506329E-2</v>
      </c>
      <c r="H30" s="29">
        <f t="shared" si="3"/>
        <v>-1.3227400002506329E-2</v>
      </c>
      <c r="Q30" s="56">
        <f t="shared" si="4"/>
        <v>10718.929</v>
      </c>
    </row>
    <row r="31" spans="1:21" s="29" customFormat="1" ht="12.95" customHeight="1" x14ac:dyDescent="0.2">
      <c r="A31" s="51" t="s">
        <v>91</v>
      </c>
      <c r="B31" s="52" t="s">
        <v>58</v>
      </c>
      <c r="C31" s="53">
        <v>25796.393</v>
      </c>
      <c r="D31" s="54"/>
      <c r="E31" s="55">
        <f t="shared" si="0"/>
        <v>-10681.004977544135</v>
      </c>
      <c r="F31" s="29">
        <f t="shared" si="1"/>
        <v>-10681</v>
      </c>
      <c r="G31" s="29">
        <f t="shared" si="2"/>
        <v>-7.1577000016986858E-3</v>
      </c>
      <c r="H31" s="29">
        <f t="shared" si="3"/>
        <v>-7.1577000016986858E-3</v>
      </c>
      <c r="Q31" s="56">
        <f t="shared" si="4"/>
        <v>10777.893</v>
      </c>
    </row>
    <row r="32" spans="1:21" s="29" customFormat="1" ht="12.95" customHeight="1" x14ac:dyDescent="0.2">
      <c r="A32" s="51" t="s">
        <v>91</v>
      </c>
      <c r="B32" s="52" t="s">
        <v>58</v>
      </c>
      <c r="C32" s="53">
        <v>26121.399000000001</v>
      </c>
      <c r="D32" s="54"/>
      <c r="E32" s="55">
        <f t="shared" si="0"/>
        <v>-10454.992192967127</v>
      </c>
      <c r="F32" s="29">
        <f t="shared" si="1"/>
        <v>-10455</v>
      </c>
      <c r="G32" s="29">
        <f t="shared" si="2"/>
        <v>1.122649999888381E-2</v>
      </c>
      <c r="H32" s="29">
        <f t="shared" si="3"/>
        <v>1.122649999888381E-2</v>
      </c>
      <c r="Q32" s="56">
        <f t="shared" si="4"/>
        <v>11102.899000000001</v>
      </c>
    </row>
    <row r="33" spans="1:32" s="29" customFormat="1" ht="12.95" customHeight="1" x14ac:dyDescent="0.2">
      <c r="A33" s="51" t="s">
        <v>91</v>
      </c>
      <c r="B33" s="52" t="s">
        <v>58</v>
      </c>
      <c r="C33" s="53">
        <v>26469.392</v>
      </c>
      <c r="D33" s="54"/>
      <c r="E33" s="55">
        <f t="shared" si="0"/>
        <v>-10212.993993108339</v>
      </c>
      <c r="F33" s="29">
        <f t="shared" si="1"/>
        <v>-10213</v>
      </c>
      <c r="G33" s="29">
        <f t="shared" si="2"/>
        <v>8.637899998575449E-3</v>
      </c>
      <c r="H33" s="29">
        <f t="shared" si="3"/>
        <v>8.637899998575449E-3</v>
      </c>
      <c r="Q33" s="56">
        <f t="shared" si="4"/>
        <v>11450.892</v>
      </c>
    </row>
    <row r="34" spans="1:32" s="29" customFormat="1" ht="12.95" customHeight="1" x14ac:dyDescent="0.2">
      <c r="A34" s="51" t="s">
        <v>131</v>
      </c>
      <c r="B34" s="52" t="s">
        <v>313</v>
      </c>
      <c r="C34" s="53">
        <v>27573.285</v>
      </c>
      <c r="D34" s="54"/>
      <c r="E34" s="55">
        <f t="shared" si="0"/>
        <v>-9445.3345320366534</v>
      </c>
      <c r="F34" s="29">
        <f t="shared" si="1"/>
        <v>-9445.5</v>
      </c>
      <c r="Q34" s="56">
        <f t="shared" si="4"/>
        <v>12554.785</v>
      </c>
      <c r="U34" s="29">
        <f>+C34-(C$7+F34*C$8)</f>
        <v>0.23794264999742154</v>
      </c>
    </row>
    <row r="35" spans="1:32" s="29" customFormat="1" ht="12.95" customHeight="1" x14ac:dyDescent="0.2">
      <c r="A35" s="51" t="s">
        <v>135</v>
      </c>
      <c r="B35" s="52" t="s">
        <v>58</v>
      </c>
      <c r="C35" s="53">
        <v>30914.231</v>
      </c>
      <c r="D35" s="54"/>
      <c r="E35" s="55">
        <f t="shared" si="0"/>
        <v>-7122.0035517427268</v>
      </c>
      <c r="F35" s="29">
        <f t="shared" si="1"/>
        <v>-7122</v>
      </c>
      <c r="G35" s="29">
        <f t="shared" ref="G35:G66" si="5">+C35-(C$7+F35*C$8)</f>
        <v>-5.1074000039079692E-3</v>
      </c>
      <c r="H35" s="29">
        <f>+G35</f>
        <v>-5.1074000039079692E-3</v>
      </c>
      <c r="Q35" s="56">
        <f t="shared" si="4"/>
        <v>15895.731</v>
      </c>
    </row>
    <row r="36" spans="1:32" s="29" customFormat="1" ht="12.95" customHeight="1" x14ac:dyDescent="0.2">
      <c r="A36" s="51" t="s">
        <v>140</v>
      </c>
      <c r="B36" s="52" t="s">
        <v>58</v>
      </c>
      <c r="C36" s="53">
        <v>32355.076000000001</v>
      </c>
      <c r="D36" s="54"/>
      <c r="E36" s="55">
        <f t="shared" si="0"/>
        <v>-6120.0239249239739</v>
      </c>
      <c r="F36" s="29">
        <f t="shared" si="1"/>
        <v>-6120</v>
      </c>
      <c r="G36" s="29">
        <f t="shared" si="5"/>
        <v>-3.4404000001813984E-2</v>
      </c>
      <c r="H36" s="29">
        <f>+G36</f>
        <v>-3.4404000001813984E-2</v>
      </c>
      <c r="Q36" s="56">
        <f t="shared" si="4"/>
        <v>17336.576000000001</v>
      </c>
    </row>
    <row r="37" spans="1:32" s="29" customFormat="1" ht="12.95" customHeight="1" x14ac:dyDescent="0.2">
      <c r="A37" s="7" t="s">
        <v>59</v>
      </c>
      <c r="B37" s="8" t="s">
        <v>60</v>
      </c>
      <c r="C37" s="7">
        <v>34530.773999999998</v>
      </c>
      <c r="D37" s="7">
        <v>4.0000000000000001E-3</v>
      </c>
      <c r="E37" s="29">
        <f t="shared" si="0"/>
        <v>-4607.0193546125929</v>
      </c>
      <c r="F37" s="29">
        <f t="shared" si="1"/>
        <v>-4607</v>
      </c>
      <c r="G37" s="29">
        <f t="shared" si="5"/>
        <v>-2.7831900006276555E-2</v>
      </c>
      <c r="K37" s="29">
        <f>+G37</f>
        <v>-2.7831900006276555E-2</v>
      </c>
      <c r="Q37" s="56">
        <f t="shared" si="4"/>
        <v>19512.273999999998</v>
      </c>
    </row>
    <row r="38" spans="1:32" s="29" customFormat="1" ht="12.95" customHeight="1" x14ac:dyDescent="0.2">
      <c r="A38" s="51" t="s">
        <v>151</v>
      </c>
      <c r="B38" s="52" t="s">
        <v>58</v>
      </c>
      <c r="C38" s="53">
        <v>34868.71</v>
      </c>
      <c r="D38" s="54"/>
      <c r="E38" s="55">
        <f t="shared" si="0"/>
        <v>-4372.0149043291667</v>
      </c>
      <c r="F38" s="29">
        <f t="shared" si="1"/>
        <v>-4372</v>
      </c>
      <c r="G38" s="29">
        <f t="shared" si="5"/>
        <v>-2.1432400004414376E-2</v>
      </c>
      <c r="H38" s="29">
        <f>+G38</f>
        <v>-2.1432400004414376E-2</v>
      </c>
      <c r="Q38" s="56">
        <f t="shared" si="4"/>
        <v>19850.21</v>
      </c>
    </row>
    <row r="39" spans="1:32" s="29" customFormat="1" ht="12.95" customHeight="1" x14ac:dyDescent="0.2">
      <c r="A39" s="2" t="s">
        <v>48</v>
      </c>
      <c r="B39" s="3"/>
      <c r="C39" s="54">
        <v>38916.680999999997</v>
      </c>
      <c r="D39" s="54"/>
      <c r="E39" s="29">
        <f t="shared" si="0"/>
        <v>-1557.0108810281672</v>
      </c>
      <c r="F39" s="29">
        <f t="shared" si="1"/>
        <v>-1557</v>
      </c>
      <c r="G39" s="29">
        <f t="shared" si="5"/>
        <v>-1.5646900006686337E-2</v>
      </c>
      <c r="I39" s="29">
        <f t="shared" ref="I39:I46" si="6">+G39</f>
        <v>-1.5646900006686337E-2</v>
      </c>
      <c r="Q39" s="56">
        <f t="shared" si="4"/>
        <v>23898.180999999997</v>
      </c>
    </row>
    <row r="40" spans="1:32" s="29" customFormat="1" ht="12.95" customHeight="1" x14ac:dyDescent="0.2">
      <c r="A40" s="2" t="s">
        <v>48</v>
      </c>
      <c r="B40" s="3"/>
      <c r="C40" s="54">
        <v>38952.637999999999</v>
      </c>
      <c r="D40" s="54"/>
      <c r="E40" s="29">
        <f t="shared" si="0"/>
        <v>-1532.0059835953939</v>
      </c>
      <c r="F40" s="29">
        <f t="shared" si="1"/>
        <v>-1532</v>
      </c>
      <c r="G40" s="29">
        <f t="shared" si="5"/>
        <v>-8.6044000054243952E-3</v>
      </c>
      <c r="I40" s="29">
        <f t="shared" si="6"/>
        <v>-8.6044000054243952E-3</v>
      </c>
      <c r="Q40" s="56">
        <f t="shared" si="4"/>
        <v>23934.137999999999</v>
      </c>
    </row>
    <row r="41" spans="1:32" s="29" customFormat="1" ht="12.95" customHeight="1" x14ac:dyDescent="0.2">
      <c r="A41" s="2" t="s">
        <v>49</v>
      </c>
      <c r="B41" s="3"/>
      <c r="C41" s="54">
        <v>39287.705999999998</v>
      </c>
      <c r="D41" s="54"/>
      <c r="E41" s="29">
        <f t="shared" si="0"/>
        <v>-1298.9959723874535</v>
      </c>
      <c r="F41" s="29">
        <f t="shared" si="1"/>
        <v>-1299</v>
      </c>
      <c r="G41" s="29">
        <f t="shared" si="5"/>
        <v>5.7916999940061942E-3</v>
      </c>
      <c r="I41" s="29">
        <f t="shared" si="6"/>
        <v>5.7916999940061942E-3</v>
      </c>
      <c r="Q41" s="56">
        <f t="shared" si="4"/>
        <v>24269.205999999998</v>
      </c>
    </row>
    <row r="42" spans="1:32" s="29" customFormat="1" ht="12.95" customHeight="1" x14ac:dyDescent="0.2">
      <c r="A42" s="2" t="s">
        <v>49</v>
      </c>
      <c r="B42" s="3"/>
      <c r="C42" s="54">
        <v>39323.641000000003</v>
      </c>
      <c r="D42" s="54"/>
      <c r="E42" s="29">
        <f t="shared" si="0"/>
        <v>-1274.0063739991906</v>
      </c>
      <c r="F42" s="29">
        <f t="shared" si="1"/>
        <v>-1274</v>
      </c>
      <c r="G42" s="29">
        <f t="shared" si="5"/>
        <v>-9.165800001937896E-3</v>
      </c>
      <c r="I42" s="29">
        <f t="shared" si="6"/>
        <v>-9.165800001937896E-3</v>
      </c>
      <c r="Q42" s="56">
        <f t="shared" si="4"/>
        <v>24305.141000000003</v>
      </c>
    </row>
    <row r="43" spans="1:32" s="29" customFormat="1" ht="12.95" customHeight="1" x14ac:dyDescent="0.2">
      <c r="A43" s="2" t="s">
        <v>49</v>
      </c>
      <c r="C43" s="54">
        <v>39323.641000000003</v>
      </c>
      <c r="D43" s="54"/>
      <c r="E43" s="29">
        <f t="shared" si="0"/>
        <v>-1274.0063739991906</v>
      </c>
      <c r="F43" s="29">
        <f t="shared" si="1"/>
        <v>-1274</v>
      </c>
      <c r="G43" s="29">
        <f t="shared" si="5"/>
        <v>-9.165800001937896E-3</v>
      </c>
      <c r="I43" s="29">
        <f t="shared" si="6"/>
        <v>-9.165800001937896E-3</v>
      </c>
      <c r="Q43" s="56">
        <f t="shared" si="4"/>
        <v>24305.141000000003</v>
      </c>
      <c r="AA43" s="29" t="s">
        <v>27</v>
      </c>
      <c r="AF43" s="29" t="s">
        <v>28</v>
      </c>
    </row>
    <row r="44" spans="1:32" s="29" customFormat="1" ht="12.95" customHeight="1" x14ac:dyDescent="0.2">
      <c r="A44" s="29" t="s">
        <v>30</v>
      </c>
      <c r="C44" s="54">
        <v>40383.438000000002</v>
      </c>
      <c r="D44" s="54"/>
      <c r="E44" s="29">
        <f t="shared" si="0"/>
        <v>-537.01176141863414</v>
      </c>
      <c r="F44" s="29">
        <f t="shared" si="1"/>
        <v>-537</v>
      </c>
      <c r="G44" s="29">
        <f t="shared" si="5"/>
        <v>-1.6912899998715147E-2</v>
      </c>
      <c r="I44" s="29">
        <f t="shared" si="6"/>
        <v>-1.6912899998715147E-2</v>
      </c>
      <c r="Q44" s="56">
        <f t="shared" si="4"/>
        <v>25364.938000000002</v>
      </c>
      <c r="AB44" s="29">
        <v>16</v>
      </c>
      <c r="AD44" s="29" t="s">
        <v>29</v>
      </c>
      <c r="AF44" s="29" t="s">
        <v>31</v>
      </c>
    </row>
    <row r="45" spans="1:32" s="29" customFormat="1" ht="12.95" customHeight="1" x14ac:dyDescent="0.2">
      <c r="A45" s="29" t="s">
        <v>33</v>
      </c>
      <c r="C45" s="54">
        <v>40741.516000000003</v>
      </c>
      <c r="D45" s="54"/>
      <c r="E45" s="29">
        <f t="shared" si="0"/>
        <v>-288.00034047328165</v>
      </c>
      <c r="F45" s="29">
        <f t="shared" si="1"/>
        <v>-288</v>
      </c>
      <c r="G45" s="29">
        <f t="shared" si="5"/>
        <v>-4.8960000276565552E-4</v>
      </c>
      <c r="I45" s="29">
        <f t="shared" si="6"/>
        <v>-4.8960000276565552E-4</v>
      </c>
      <c r="Q45" s="56">
        <f t="shared" si="4"/>
        <v>25723.016000000003</v>
      </c>
      <c r="AB45" s="29">
        <v>8</v>
      </c>
      <c r="AD45" s="29" t="s">
        <v>29</v>
      </c>
      <c r="AF45" s="29" t="s">
        <v>31</v>
      </c>
    </row>
    <row r="46" spans="1:32" s="29" customFormat="1" ht="12.95" customHeight="1" x14ac:dyDescent="0.2">
      <c r="A46" s="29" t="s">
        <v>32</v>
      </c>
      <c r="C46" s="54">
        <v>40741.516000000003</v>
      </c>
      <c r="D46" s="54"/>
      <c r="E46" s="29">
        <f t="shared" si="0"/>
        <v>-288.00034047328165</v>
      </c>
      <c r="F46" s="29">
        <f t="shared" si="1"/>
        <v>-288</v>
      </c>
      <c r="G46" s="29">
        <f t="shared" si="5"/>
        <v>-4.8960000276565552E-4</v>
      </c>
      <c r="I46" s="29">
        <f t="shared" si="6"/>
        <v>-4.8960000276565552E-4</v>
      </c>
      <c r="Q46" s="56">
        <f t="shared" si="4"/>
        <v>25723.016000000003</v>
      </c>
      <c r="AA46" s="29" t="s">
        <v>27</v>
      </c>
      <c r="AF46" s="29" t="s">
        <v>28</v>
      </c>
    </row>
    <row r="47" spans="1:32" s="29" customFormat="1" ht="12.95" customHeight="1" x14ac:dyDescent="0.2">
      <c r="A47" s="29" t="s">
        <v>34</v>
      </c>
      <c r="C47" s="54">
        <v>41096.686000000002</v>
      </c>
      <c r="D47" s="54"/>
      <c r="E47" s="29">
        <f t="shared" si="0"/>
        <v>-41.011175047983002</v>
      </c>
      <c r="F47" s="29">
        <f t="shared" si="1"/>
        <v>-41</v>
      </c>
      <c r="G47" s="29">
        <f t="shared" si="5"/>
        <v>-1.6069700002844911E-2</v>
      </c>
      <c r="K47" s="29">
        <f>+G47</f>
        <v>-1.6069700002844911E-2</v>
      </c>
      <c r="Q47" s="56">
        <f t="shared" si="4"/>
        <v>26078.186000000002</v>
      </c>
      <c r="AA47" s="29" t="s">
        <v>27</v>
      </c>
      <c r="AF47" s="29" t="s">
        <v>28</v>
      </c>
    </row>
    <row r="48" spans="1:32" s="29" customFormat="1" ht="12.95" customHeight="1" x14ac:dyDescent="0.2">
      <c r="A48" s="29" t="s">
        <v>34</v>
      </c>
      <c r="C48" s="54">
        <v>41152.771000000001</v>
      </c>
      <c r="D48" s="54"/>
      <c r="E48" s="29">
        <f t="shared" si="0"/>
        <v>-2.0090427088841842</v>
      </c>
      <c r="F48" s="29">
        <f t="shared" si="1"/>
        <v>-2</v>
      </c>
      <c r="G48" s="29">
        <f t="shared" si="5"/>
        <v>-1.3003400003071874E-2</v>
      </c>
      <c r="K48" s="29">
        <f>+G48</f>
        <v>-1.3003400003071874E-2</v>
      </c>
      <c r="Q48" s="56">
        <f t="shared" si="4"/>
        <v>26134.271000000001</v>
      </c>
      <c r="AA48" s="29" t="s">
        <v>27</v>
      </c>
      <c r="AF48" s="29" t="s">
        <v>28</v>
      </c>
    </row>
    <row r="49" spans="1:32" s="29" customFormat="1" ht="12.95" customHeight="1" x14ac:dyDescent="0.2">
      <c r="A49" s="29" t="s">
        <v>34</v>
      </c>
      <c r="C49" s="54">
        <v>41155.656000000003</v>
      </c>
      <c r="D49" s="54"/>
      <c r="E49" s="29">
        <f t="shared" si="0"/>
        <v>-2.7816444573090992E-3</v>
      </c>
      <c r="F49" s="29">
        <f t="shared" si="1"/>
        <v>0</v>
      </c>
      <c r="G49" s="29">
        <f t="shared" si="5"/>
        <v>-4.0000000008149073E-3</v>
      </c>
      <c r="K49" s="29">
        <f>+G49</f>
        <v>-4.0000000008149073E-3</v>
      </c>
      <c r="Q49" s="56">
        <f t="shared" si="4"/>
        <v>26137.156000000003</v>
      </c>
      <c r="AA49" s="29" t="s">
        <v>27</v>
      </c>
      <c r="AF49" s="29" t="s">
        <v>28</v>
      </c>
    </row>
    <row r="50" spans="1:32" s="29" customFormat="1" ht="12.95" customHeight="1" x14ac:dyDescent="0.2">
      <c r="A50" s="29" t="s">
        <v>12</v>
      </c>
      <c r="C50" s="54">
        <v>41155.660000000003</v>
      </c>
      <c r="D50" s="54" t="s">
        <v>14</v>
      </c>
      <c r="E50" s="29">
        <f t="shared" si="0"/>
        <v>0</v>
      </c>
      <c r="F50" s="29">
        <f t="shared" si="1"/>
        <v>0</v>
      </c>
      <c r="G50" s="29">
        <f t="shared" si="5"/>
        <v>0</v>
      </c>
      <c r="H50" s="29">
        <f>+G50</f>
        <v>0</v>
      </c>
      <c r="Q50" s="56">
        <f t="shared" si="4"/>
        <v>26137.160000000003</v>
      </c>
    </row>
    <row r="51" spans="1:32" s="29" customFormat="1" ht="12.95" customHeight="1" x14ac:dyDescent="0.2">
      <c r="A51" s="29" t="s">
        <v>34</v>
      </c>
      <c r="C51" s="54">
        <v>41536.712</v>
      </c>
      <c r="D51" s="54" t="s">
        <v>35</v>
      </c>
      <c r="E51" s="29">
        <f t="shared" si="0"/>
        <v>264.98779588264881</v>
      </c>
      <c r="F51" s="29">
        <f t="shared" si="1"/>
        <v>265</v>
      </c>
      <c r="G51" s="29">
        <f t="shared" si="5"/>
        <v>-1.7549500000313856E-2</v>
      </c>
      <c r="K51" s="29">
        <f>+G51</f>
        <v>-1.7549500000313856E-2</v>
      </c>
      <c r="Q51" s="56">
        <f t="shared" si="4"/>
        <v>26518.212</v>
      </c>
      <c r="AA51" s="29" t="s">
        <v>27</v>
      </c>
      <c r="AF51" s="29" t="s">
        <v>28</v>
      </c>
    </row>
    <row r="52" spans="1:32" s="29" customFormat="1" ht="12.95" customHeight="1" x14ac:dyDescent="0.2">
      <c r="A52" s="29" t="s">
        <v>37</v>
      </c>
      <c r="C52" s="54">
        <v>43286.771000000001</v>
      </c>
      <c r="D52" s="54"/>
      <c r="E52" s="29">
        <f t="shared" si="0"/>
        <v>1481.9982749631881</v>
      </c>
      <c r="F52" s="29">
        <f t="shared" si="1"/>
        <v>1482</v>
      </c>
      <c r="G52" s="29">
        <f t="shared" si="5"/>
        <v>-2.4806000001262873E-3</v>
      </c>
      <c r="I52" s="29">
        <f t="shared" ref="I52:I66" si="7">+G52</f>
        <v>-2.4806000001262873E-3</v>
      </c>
      <c r="Q52" s="56">
        <f t="shared" si="4"/>
        <v>28268.271000000001</v>
      </c>
      <c r="AB52" s="29">
        <v>20</v>
      </c>
      <c r="AD52" s="29" t="s">
        <v>36</v>
      </c>
      <c r="AF52" s="29" t="s">
        <v>38</v>
      </c>
    </row>
    <row r="53" spans="1:32" s="29" customFormat="1" ht="12.95" customHeight="1" x14ac:dyDescent="0.2">
      <c r="A53" s="29" t="s">
        <v>37</v>
      </c>
      <c r="C53" s="54">
        <v>43982.781000000003</v>
      </c>
      <c r="D53" s="54"/>
      <c r="E53" s="29">
        <f t="shared" ref="E53:E84" si="8">+(C53-C$7)/C$8</f>
        <v>1966.0113645475096</v>
      </c>
      <c r="F53" s="29">
        <f t="shared" ref="F53:F84" si="9">ROUND(2*E53,0)/2</f>
        <v>1966</v>
      </c>
      <c r="G53" s="29">
        <f t="shared" si="5"/>
        <v>1.6342199996870477E-2</v>
      </c>
      <c r="I53" s="29">
        <f t="shared" si="7"/>
        <v>1.6342199996870477E-2</v>
      </c>
      <c r="Q53" s="56">
        <f t="shared" ref="Q53:Q84" si="10">+C53-15018.5</f>
        <v>28964.281000000003</v>
      </c>
      <c r="AB53" s="29">
        <v>22</v>
      </c>
      <c r="AD53" s="29" t="s">
        <v>36</v>
      </c>
      <c r="AF53" s="29" t="s">
        <v>38</v>
      </c>
    </row>
    <row r="54" spans="1:32" s="29" customFormat="1" ht="12.95" customHeight="1" x14ac:dyDescent="0.2">
      <c r="A54" s="29" t="s">
        <v>37</v>
      </c>
      <c r="C54" s="54">
        <v>45082.86</v>
      </c>
      <c r="D54" s="54"/>
      <c r="E54" s="29">
        <f t="shared" si="8"/>
        <v>2731.0185276296897</v>
      </c>
      <c r="F54" s="29">
        <f t="shared" si="9"/>
        <v>2731</v>
      </c>
      <c r="G54" s="29">
        <f t="shared" si="5"/>
        <v>2.6642699995136354E-2</v>
      </c>
      <c r="I54" s="29">
        <f t="shared" si="7"/>
        <v>2.6642699995136354E-2</v>
      </c>
      <c r="Q54" s="56">
        <f t="shared" si="10"/>
        <v>30064.36</v>
      </c>
      <c r="AB54" s="29">
        <v>18</v>
      </c>
      <c r="AD54" s="29" t="s">
        <v>39</v>
      </c>
      <c r="AF54" s="29" t="s">
        <v>38</v>
      </c>
    </row>
    <row r="55" spans="1:32" s="29" customFormat="1" ht="12.95" customHeight="1" x14ac:dyDescent="0.2">
      <c r="A55" s="29" t="s">
        <v>37</v>
      </c>
      <c r="C55" s="54">
        <v>45131.732000000004</v>
      </c>
      <c r="D55" s="54"/>
      <c r="E55" s="29">
        <f t="shared" si="8"/>
        <v>2765.0046596021707</v>
      </c>
      <c r="F55" s="29">
        <f t="shared" si="9"/>
        <v>2765</v>
      </c>
      <c r="G55" s="29">
        <f t="shared" si="5"/>
        <v>6.7005000018980354E-3</v>
      </c>
      <c r="I55" s="29">
        <f t="shared" si="7"/>
        <v>6.7005000018980354E-3</v>
      </c>
      <c r="Q55" s="56">
        <f t="shared" si="10"/>
        <v>30113.232000000004</v>
      </c>
      <c r="AB55" s="29">
        <v>8</v>
      </c>
      <c r="AD55" s="29" t="s">
        <v>40</v>
      </c>
      <c r="AF55" s="29" t="s">
        <v>38</v>
      </c>
    </row>
    <row r="56" spans="1:32" s="29" customFormat="1" ht="12.95" customHeight="1" x14ac:dyDescent="0.2">
      <c r="A56" s="29" t="s">
        <v>37</v>
      </c>
      <c r="C56" s="54">
        <v>45131.748</v>
      </c>
      <c r="D56" s="54"/>
      <c r="E56" s="29">
        <f t="shared" si="8"/>
        <v>2765.0157861799948</v>
      </c>
      <c r="F56" s="29">
        <f t="shared" si="9"/>
        <v>2765</v>
      </c>
      <c r="G56" s="29">
        <f t="shared" si="5"/>
        <v>2.2700499997881707E-2</v>
      </c>
      <c r="I56" s="29">
        <f t="shared" si="7"/>
        <v>2.2700499997881707E-2</v>
      </c>
      <c r="Q56" s="56">
        <f t="shared" si="10"/>
        <v>30113.248</v>
      </c>
      <c r="AB56" s="29">
        <v>15</v>
      </c>
      <c r="AD56" s="29" t="s">
        <v>36</v>
      </c>
      <c r="AF56" s="29" t="s">
        <v>38</v>
      </c>
    </row>
    <row r="57" spans="1:32" s="29" customFormat="1" ht="12.95" customHeight="1" x14ac:dyDescent="0.2">
      <c r="A57" s="29" t="s">
        <v>37</v>
      </c>
      <c r="C57" s="54">
        <v>45492.688999999998</v>
      </c>
      <c r="D57" s="54"/>
      <c r="E57" s="29">
        <f t="shared" si="8"/>
        <v>3016.018169145259</v>
      </c>
      <c r="F57" s="29">
        <f t="shared" si="9"/>
        <v>3016</v>
      </c>
      <c r="G57" s="29">
        <f t="shared" si="5"/>
        <v>2.6127199991606176E-2</v>
      </c>
      <c r="I57" s="29">
        <f t="shared" si="7"/>
        <v>2.6127199991606176E-2</v>
      </c>
      <c r="Q57" s="56">
        <f t="shared" si="10"/>
        <v>30474.188999999998</v>
      </c>
      <c r="AB57" s="29">
        <v>11</v>
      </c>
      <c r="AD57" s="29" t="s">
        <v>36</v>
      </c>
      <c r="AF57" s="29" t="s">
        <v>38</v>
      </c>
    </row>
    <row r="58" spans="1:32" s="29" customFormat="1" ht="12.95" customHeight="1" x14ac:dyDescent="0.2">
      <c r="A58" s="29" t="s">
        <v>37</v>
      </c>
      <c r="C58" s="54">
        <v>46169.945</v>
      </c>
      <c r="D58" s="54"/>
      <c r="E58" s="29">
        <f t="shared" si="8"/>
        <v>3486.989518694143</v>
      </c>
      <c r="F58" s="29">
        <f t="shared" si="9"/>
        <v>3487</v>
      </c>
      <c r="G58" s="29">
        <f t="shared" si="5"/>
        <v>-1.5072100002726074E-2</v>
      </c>
      <c r="I58" s="29">
        <f t="shared" si="7"/>
        <v>-1.5072100002726074E-2</v>
      </c>
      <c r="Q58" s="56">
        <f t="shared" si="10"/>
        <v>31151.445</v>
      </c>
      <c r="AB58" s="29">
        <v>12</v>
      </c>
      <c r="AD58" s="29" t="s">
        <v>41</v>
      </c>
      <c r="AF58" s="29" t="s">
        <v>38</v>
      </c>
    </row>
    <row r="59" spans="1:32" s="29" customFormat="1" ht="12.95" customHeight="1" x14ac:dyDescent="0.2">
      <c r="A59" s="29" t="s">
        <v>37</v>
      </c>
      <c r="C59" s="54">
        <v>46208.781000000003</v>
      </c>
      <c r="D59" s="54"/>
      <c r="E59" s="29">
        <f t="shared" si="8"/>
        <v>3513.9965047246574</v>
      </c>
      <c r="F59" s="29">
        <f t="shared" si="9"/>
        <v>3514</v>
      </c>
      <c r="G59" s="29">
        <f t="shared" si="5"/>
        <v>-5.026200000429526E-3</v>
      </c>
      <c r="I59" s="29">
        <f t="shared" si="7"/>
        <v>-5.026200000429526E-3</v>
      </c>
      <c r="Q59" s="56">
        <f t="shared" si="10"/>
        <v>31190.281000000003</v>
      </c>
      <c r="AB59" s="29">
        <v>12</v>
      </c>
      <c r="AD59" s="29" t="s">
        <v>42</v>
      </c>
      <c r="AF59" s="29" t="s">
        <v>38</v>
      </c>
    </row>
    <row r="60" spans="1:32" s="29" customFormat="1" ht="12.95" customHeight="1" x14ac:dyDescent="0.2">
      <c r="A60" s="29" t="s">
        <v>37</v>
      </c>
      <c r="C60" s="54">
        <v>46247.652000000002</v>
      </c>
      <c r="D60" s="54"/>
      <c r="E60" s="29">
        <f t="shared" si="8"/>
        <v>3541.0278301441649</v>
      </c>
      <c r="F60" s="29">
        <f t="shared" si="9"/>
        <v>3541</v>
      </c>
      <c r="G60" s="29">
        <f t="shared" si="5"/>
        <v>4.0019699998083524E-2</v>
      </c>
      <c r="I60" s="29">
        <f t="shared" si="7"/>
        <v>4.0019699998083524E-2</v>
      </c>
      <c r="Q60" s="56">
        <f t="shared" si="10"/>
        <v>31229.152000000002</v>
      </c>
      <c r="AB60" s="29">
        <v>11</v>
      </c>
      <c r="AD60" s="29" t="s">
        <v>36</v>
      </c>
      <c r="AF60" s="29" t="s">
        <v>38</v>
      </c>
    </row>
    <row r="61" spans="1:32" s="29" customFormat="1" ht="12.95" customHeight="1" x14ac:dyDescent="0.2">
      <c r="A61" s="29" t="s">
        <v>37</v>
      </c>
      <c r="C61" s="54">
        <v>46566.843999999997</v>
      </c>
      <c r="D61" s="54"/>
      <c r="E61" s="29">
        <f t="shared" si="8"/>
        <v>3762.9974945032923</v>
      </c>
      <c r="F61" s="29">
        <f t="shared" si="9"/>
        <v>3763</v>
      </c>
      <c r="G61" s="29">
        <f t="shared" si="5"/>
        <v>-3.6029000038979575E-3</v>
      </c>
      <c r="I61" s="29">
        <f t="shared" si="7"/>
        <v>-3.6029000038979575E-3</v>
      </c>
      <c r="Q61" s="56">
        <f t="shared" si="10"/>
        <v>31548.343999999997</v>
      </c>
      <c r="AB61" s="29">
        <v>10</v>
      </c>
      <c r="AD61" s="29" t="s">
        <v>41</v>
      </c>
      <c r="AF61" s="29" t="s">
        <v>38</v>
      </c>
    </row>
    <row r="62" spans="1:32" s="29" customFormat="1" ht="12.95" customHeight="1" x14ac:dyDescent="0.2">
      <c r="A62" s="29" t="s">
        <v>37</v>
      </c>
      <c r="C62" s="54">
        <v>46940.718999999997</v>
      </c>
      <c r="D62" s="54"/>
      <c r="E62" s="29">
        <f t="shared" si="8"/>
        <v>4022.9943248194336</v>
      </c>
      <c r="F62" s="29">
        <f t="shared" si="9"/>
        <v>4023</v>
      </c>
      <c r="G62" s="29">
        <f t="shared" si="5"/>
        <v>-8.1609000044409186E-3</v>
      </c>
      <c r="I62" s="29">
        <f t="shared" si="7"/>
        <v>-8.1609000044409186E-3</v>
      </c>
      <c r="Q62" s="56">
        <f t="shared" si="10"/>
        <v>31922.218999999997</v>
      </c>
      <c r="AB62" s="29">
        <v>8</v>
      </c>
      <c r="AD62" s="29" t="s">
        <v>41</v>
      </c>
      <c r="AF62" s="29" t="s">
        <v>38</v>
      </c>
    </row>
    <row r="63" spans="1:32" s="29" customFormat="1" ht="12.95" customHeight="1" x14ac:dyDescent="0.2">
      <c r="A63" s="29" t="s">
        <v>37</v>
      </c>
      <c r="C63" s="54">
        <v>47344.830999999998</v>
      </c>
      <c r="D63" s="54"/>
      <c r="E63" s="29">
        <f t="shared" si="8"/>
        <v>4304.0183009952061</v>
      </c>
      <c r="F63" s="29">
        <f t="shared" si="9"/>
        <v>4304</v>
      </c>
      <c r="G63" s="29">
        <f t="shared" si="5"/>
        <v>2.6316799994674511E-2</v>
      </c>
      <c r="I63" s="29">
        <f t="shared" si="7"/>
        <v>2.6316799994674511E-2</v>
      </c>
      <c r="Q63" s="56">
        <f t="shared" si="10"/>
        <v>32326.330999999998</v>
      </c>
      <c r="AB63" s="29">
        <v>16</v>
      </c>
      <c r="AD63" s="29" t="s">
        <v>41</v>
      </c>
      <c r="AF63" s="29" t="s">
        <v>38</v>
      </c>
    </row>
    <row r="64" spans="1:32" s="29" customFormat="1" ht="12.95" customHeight="1" x14ac:dyDescent="0.2">
      <c r="A64" s="29" t="s">
        <v>37</v>
      </c>
      <c r="C64" s="54">
        <v>48762.67</v>
      </c>
      <c r="D64" s="54"/>
      <c r="E64" s="29">
        <f t="shared" si="8"/>
        <v>5289.9992997210038</v>
      </c>
      <c r="F64" s="29">
        <f t="shared" si="9"/>
        <v>5290</v>
      </c>
      <c r="G64" s="29">
        <f t="shared" si="5"/>
        <v>-1.0070000062114559E-3</v>
      </c>
      <c r="I64" s="29">
        <f t="shared" si="7"/>
        <v>-1.0070000062114559E-3</v>
      </c>
      <c r="O64" s="29">
        <f t="shared" ref="O64:O101" ca="1" si="11">+C$11+C$12*$F64</f>
        <v>1.0512554278922032E-2</v>
      </c>
      <c r="Q64" s="56">
        <f t="shared" si="10"/>
        <v>33744.17</v>
      </c>
      <c r="AB64" s="29">
        <v>14</v>
      </c>
      <c r="AD64" s="29" t="s">
        <v>36</v>
      </c>
      <c r="AF64" s="29" t="s">
        <v>38</v>
      </c>
    </row>
    <row r="65" spans="1:32" s="29" customFormat="1" ht="12.95" customHeight="1" x14ac:dyDescent="0.2">
      <c r="A65" s="55" t="s">
        <v>37</v>
      </c>
      <c r="B65" s="55"/>
      <c r="C65" s="9">
        <v>49875.701999999997</v>
      </c>
      <c r="D65" s="9"/>
      <c r="E65" s="55">
        <f t="shared" si="8"/>
        <v>6064.0141229652318</v>
      </c>
      <c r="F65" s="29">
        <f t="shared" si="9"/>
        <v>6064</v>
      </c>
      <c r="G65" s="29">
        <f t="shared" si="5"/>
        <v>2.0308799990743864E-2</v>
      </c>
      <c r="I65" s="29">
        <f t="shared" si="7"/>
        <v>2.0308799990743864E-2</v>
      </c>
      <c r="O65" s="29">
        <f t="shared" ca="1" si="11"/>
        <v>2.9724300540768328E-2</v>
      </c>
      <c r="Q65" s="56">
        <f t="shared" si="10"/>
        <v>34857.201999999997</v>
      </c>
      <c r="AA65" s="29" t="s">
        <v>43</v>
      </c>
      <c r="AB65" s="29">
        <v>10</v>
      </c>
      <c r="AD65" s="29" t="s">
        <v>42</v>
      </c>
      <c r="AF65" s="29" t="s">
        <v>38</v>
      </c>
    </row>
    <row r="66" spans="1:32" s="29" customFormat="1" ht="12.95" customHeight="1" x14ac:dyDescent="0.2">
      <c r="A66" s="55" t="s">
        <v>45</v>
      </c>
      <c r="B66" s="55"/>
      <c r="C66" s="9">
        <v>50551.569000000003</v>
      </c>
      <c r="D66" s="9">
        <v>3.0000000000000001E-3</v>
      </c>
      <c r="E66" s="55">
        <f t="shared" si="8"/>
        <v>6534.0195464765147</v>
      </c>
      <c r="F66" s="29">
        <f t="shared" si="9"/>
        <v>6534</v>
      </c>
      <c r="G66" s="29">
        <f t="shared" si="5"/>
        <v>2.8107799997087568E-2</v>
      </c>
      <c r="I66" s="29">
        <f t="shared" si="7"/>
        <v>2.8107799997087568E-2</v>
      </c>
      <c r="O66" s="29">
        <f t="shared" ca="1" si="11"/>
        <v>4.1390348012432104E-2</v>
      </c>
      <c r="Q66" s="56">
        <f t="shared" si="10"/>
        <v>35533.069000000003</v>
      </c>
      <c r="AA66" s="29" t="s">
        <v>43</v>
      </c>
      <c r="AB66" s="29">
        <v>34</v>
      </c>
      <c r="AD66" s="29" t="s">
        <v>44</v>
      </c>
      <c r="AF66" s="29" t="s">
        <v>31</v>
      </c>
    </row>
    <row r="67" spans="1:32" s="29" customFormat="1" ht="12.95" customHeight="1" x14ac:dyDescent="0.2">
      <c r="A67" s="51" t="s">
        <v>242</v>
      </c>
      <c r="B67" s="52" t="s">
        <v>58</v>
      </c>
      <c r="C67" s="53">
        <v>51720.693099999997</v>
      </c>
      <c r="D67" s="54"/>
      <c r="E67" s="55">
        <f t="shared" si="8"/>
        <v>7347.0414394787485</v>
      </c>
      <c r="F67" s="29">
        <f t="shared" si="9"/>
        <v>7347</v>
      </c>
      <c r="G67" s="29">
        <f t="shared" ref="G67:G98" si="12">+C67-(C$7+F67*C$8)</f>
        <v>5.9589899996353779E-2</v>
      </c>
      <c r="K67" s="29">
        <f t="shared" ref="K67:K101" si="13">+G67</f>
        <v>5.9589899996353779E-2</v>
      </c>
      <c r="O67" s="29">
        <f t="shared" ca="1" si="11"/>
        <v>6.1570128000650509E-2</v>
      </c>
      <c r="Q67" s="56">
        <f t="shared" si="10"/>
        <v>36702.193099999997</v>
      </c>
    </row>
    <row r="68" spans="1:32" s="29" customFormat="1" ht="12.95" customHeight="1" x14ac:dyDescent="0.2">
      <c r="A68" s="51" t="s">
        <v>242</v>
      </c>
      <c r="B68" s="52" t="s">
        <v>58</v>
      </c>
      <c r="C68" s="53">
        <v>52042.807999999997</v>
      </c>
      <c r="D68" s="54"/>
      <c r="E68" s="55">
        <f t="shared" si="8"/>
        <v>7571.0437209835318</v>
      </c>
      <c r="F68" s="29">
        <f t="shared" si="9"/>
        <v>7571</v>
      </c>
      <c r="G68" s="29">
        <f t="shared" si="12"/>
        <v>6.287069999234518E-2</v>
      </c>
      <c r="K68" s="29">
        <f t="shared" si="13"/>
        <v>6.287069999234518E-2</v>
      </c>
      <c r="O68" s="29">
        <f t="shared" ca="1" si="11"/>
        <v>6.7130116582890281E-2</v>
      </c>
      <c r="Q68" s="56">
        <f t="shared" si="10"/>
        <v>37024.307999999997</v>
      </c>
    </row>
    <row r="69" spans="1:32" s="29" customFormat="1" ht="12.95" customHeight="1" x14ac:dyDescent="0.2">
      <c r="A69" s="51" t="s">
        <v>242</v>
      </c>
      <c r="B69" s="52" t="s">
        <v>58</v>
      </c>
      <c r="C69" s="53">
        <v>52042.808900000004</v>
      </c>
      <c r="D69" s="54"/>
      <c r="E69" s="55">
        <f t="shared" si="8"/>
        <v>7571.0443468535395</v>
      </c>
      <c r="F69" s="29">
        <f t="shared" si="9"/>
        <v>7571</v>
      </c>
      <c r="G69" s="29">
        <f t="shared" si="12"/>
        <v>6.3770699998713098E-2</v>
      </c>
      <c r="K69" s="29">
        <f t="shared" si="13"/>
        <v>6.3770699998713098E-2</v>
      </c>
      <c r="O69" s="29">
        <f t="shared" ca="1" si="11"/>
        <v>6.7130116582890281E-2</v>
      </c>
      <c r="Q69" s="56">
        <f t="shared" si="10"/>
        <v>37024.308900000004</v>
      </c>
    </row>
    <row r="70" spans="1:32" s="29" customFormat="1" ht="12.95" customHeight="1" x14ac:dyDescent="0.2">
      <c r="A70" s="51" t="s">
        <v>242</v>
      </c>
      <c r="B70" s="52" t="s">
        <v>58</v>
      </c>
      <c r="C70" s="53">
        <v>52045.684399999998</v>
      </c>
      <c r="D70" s="54"/>
      <c r="E70" s="55">
        <f t="shared" si="8"/>
        <v>7573.0440015123759</v>
      </c>
      <c r="F70" s="29">
        <f t="shared" si="9"/>
        <v>7573</v>
      </c>
      <c r="G70" s="29">
        <f t="shared" si="12"/>
        <v>6.3274099993577693E-2</v>
      </c>
      <c r="K70" s="29">
        <f t="shared" si="13"/>
        <v>6.3274099993577693E-2</v>
      </c>
      <c r="O70" s="29">
        <f t="shared" ca="1" si="11"/>
        <v>6.717975933808884E-2</v>
      </c>
      <c r="Q70" s="56">
        <f t="shared" si="10"/>
        <v>37027.184399999998</v>
      </c>
    </row>
    <row r="71" spans="1:32" s="29" customFormat="1" ht="12.95" customHeight="1" x14ac:dyDescent="0.2">
      <c r="A71" s="51" t="s">
        <v>242</v>
      </c>
      <c r="B71" s="52" t="s">
        <v>58</v>
      </c>
      <c r="C71" s="53">
        <v>52426.762300000002</v>
      </c>
      <c r="D71" s="54"/>
      <c r="E71" s="55">
        <f t="shared" si="8"/>
        <v>7838.0498085428881</v>
      </c>
      <c r="F71" s="29">
        <f t="shared" si="9"/>
        <v>7838</v>
      </c>
      <c r="G71" s="29">
        <f t="shared" si="12"/>
        <v>7.1624599993810989E-2</v>
      </c>
      <c r="K71" s="29">
        <f t="shared" si="13"/>
        <v>7.1624599993810989E-2</v>
      </c>
      <c r="O71" s="29">
        <f t="shared" ca="1" si="11"/>
        <v>7.3757424401899252E-2</v>
      </c>
      <c r="Q71" s="56">
        <f t="shared" si="10"/>
        <v>37408.262300000002</v>
      </c>
    </row>
    <row r="72" spans="1:32" s="29" customFormat="1" ht="12.95" customHeight="1" x14ac:dyDescent="0.2">
      <c r="A72" s="51" t="s">
        <v>242</v>
      </c>
      <c r="B72" s="52" t="s">
        <v>58</v>
      </c>
      <c r="C72" s="53">
        <v>52810.714699999997</v>
      </c>
      <c r="D72" s="54"/>
      <c r="E72" s="55">
        <f t="shared" si="8"/>
        <v>8105.0545748211198</v>
      </c>
      <c r="F72" s="29">
        <f t="shared" si="9"/>
        <v>8105</v>
      </c>
      <c r="G72" s="29">
        <f t="shared" si="12"/>
        <v>7.8478499992343131E-2</v>
      </c>
      <c r="K72" s="29">
        <f t="shared" si="13"/>
        <v>7.8478499992343131E-2</v>
      </c>
      <c r="O72" s="29">
        <f t="shared" ca="1" si="11"/>
        <v>8.038473222090825E-2</v>
      </c>
      <c r="Q72" s="56">
        <f t="shared" si="10"/>
        <v>37792.214699999997</v>
      </c>
    </row>
    <row r="73" spans="1:32" s="29" customFormat="1" ht="12.95" customHeight="1" x14ac:dyDescent="0.2">
      <c r="A73" s="55" t="s">
        <v>57</v>
      </c>
      <c r="B73" s="57" t="s">
        <v>58</v>
      </c>
      <c r="C73" s="58">
        <v>53450.637199999997</v>
      </c>
      <c r="D73" s="58">
        <v>5.0000000000000001E-4</v>
      </c>
      <c r="E73" s="55">
        <f t="shared" si="8"/>
        <v>8550.0637935385548</v>
      </c>
      <c r="F73" s="29">
        <f t="shared" si="9"/>
        <v>8550</v>
      </c>
      <c r="G73" s="29">
        <f t="shared" si="12"/>
        <v>9.173499999451451E-2</v>
      </c>
      <c r="K73" s="29">
        <f t="shared" si="13"/>
        <v>9.173499999451451E-2</v>
      </c>
      <c r="O73" s="29">
        <f t="shared" ca="1" si="11"/>
        <v>9.1430245252589915E-2</v>
      </c>
      <c r="Q73" s="56">
        <f t="shared" si="10"/>
        <v>38432.137199999997</v>
      </c>
    </row>
    <row r="74" spans="1:32" s="29" customFormat="1" ht="12.95" customHeight="1" x14ac:dyDescent="0.2">
      <c r="A74" s="9" t="s">
        <v>57</v>
      </c>
      <c r="B74" s="10" t="s">
        <v>58</v>
      </c>
      <c r="C74" s="9">
        <v>53450.637199999997</v>
      </c>
      <c r="D74" s="9">
        <v>5.0000000000000001E-4</v>
      </c>
      <c r="E74" s="55">
        <f t="shared" si="8"/>
        <v>8550.0637935385548</v>
      </c>
      <c r="F74" s="29">
        <f t="shared" si="9"/>
        <v>8550</v>
      </c>
      <c r="G74" s="29">
        <f t="shared" si="12"/>
        <v>9.173499999451451E-2</v>
      </c>
      <c r="K74" s="29">
        <f t="shared" si="13"/>
        <v>9.173499999451451E-2</v>
      </c>
      <c r="O74" s="29">
        <f t="shared" ca="1" si="11"/>
        <v>9.1430245252589915E-2</v>
      </c>
      <c r="Q74" s="56">
        <f t="shared" si="10"/>
        <v>38432.137199999997</v>
      </c>
    </row>
    <row r="75" spans="1:32" s="29" customFormat="1" ht="12.95" customHeight="1" x14ac:dyDescent="0.2">
      <c r="A75" s="9" t="s">
        <v>64</v>
      </c>
      <c r="B75" s="10" t="s">
        <v>58</v>
      </c>
      <c r="C75" s="9">
        <v>53526.856</v>
      </c>
      <c r="D75" s="9">
        <v>4.0000000000000002E-4</v>
      </c>
      <c r="E75" s="55">
        <f t="shared" si="8"/>
        <v>8603.0671941684468</v>
      </c>
      <c r="F75" s="29">
        <f t="shared" si="9"/>
        <v>8603</v>
      </c>
      <c r="G75" s="29">
        <f t="shared" si="12"/>
        <v>9.662509999179747E-2</v>
      </c>
      <c r="K75" s="29">
        <f t="shared" si="13"/>
        <v>9.662509999179747E-2</v>
      </c>
      <c r="O75" s="29">
        <f t="shared" ca="1" si="11"/>
        <v>9.2745778265352019E-2</v>
      </c>
      <c r="Q75" s="56">
        <f t="shared" si="10"/>
        <v>38508.356</v>
      </c>
    </row>
    <row r="76" spans="1:32" s="29" customFormat="1" ht="12.95" customHeight="1" x14ac:dyDescent="0.2">
      <c r="A76" s="51" t="s">
        <v>242</v>
      </c>
      <c r="B76" s="52" t="s">
        <v>58</v>
      </c>
      <c r="C76" s="53">
        <v>53529.73</v>
      </c>
      <c r="D76" s="54"/>
      <c r="E76" s="55">
        <f t="shared" si="8"/>
        <v>8605.0658057106175</v>
      </c>
      <c r="F76" s="29">
        <f t="shared" si="9"/>
        <v>8605</v>
      </c>
      <c r="G76" s="29">
        <f t="shared" si="12"/>
        <v>9.4628500002727378E-2</v>
      </c>
      <c r="K76" s="29">
        <f t="shared" si="13"/>
        <v>9.4628500002727378E-2</v>
      </c>
      <c r="O76" s="29">
        <f t="shared" ca="1" si="11"/>
        <v>9.2795421020550578E-2</v>
      </c>
      <c r="Q76" s="56">
        <f t="shared" si="10"/>
        <v>38511.230000000003</v>
      </c>
    </row>
    <row r="77" spans="1:32" s="29" customFormat="1" ht="12.95" customHeight="1" x14ac:dyDescent="0.2">
      <c r="A77" s="51" t="s">
        <v>242</v>
      </c>
      <c r="B77" s="52" t="s">
        <v>58</v>
      </c>
      <c r="C77" s="53">
        <v>53890.675999999999</v>
      </c>
      <c r="D77" s="54"/>
      <c r="E77" s="55">
        <f t="shared" si="8"/>
        <v>8856.0716657314515</v>
      </c>
      <c r="F77" s="29">
        <f t="shared" si="9"/>
        <v>8856</v>
      </c>
      <c r="G77" s="29">
        <f t="shared" si="12"/>
        <v>0.1030551999938325</v>
      </c>
      <c r="K77" s="29">
        <f t="shared" si="13"/>
        <v>0.1030551999938325</v>
      </c>
      <c r="O77" s="29">
        <f t="shared" ca="1" si="11"/>
        <v>9.9025586797971021E-2</v>
      </c>
      <c r="Q77" s="56">
        <f t="shared" si="10"/>
        <v>38872.175999999999</v>
      </c>
    </row>
    <row r="78" spans="1:32" s="29" customFormat="1" ht="12.95" customHeight="1" x14ac:dyDescent="0.2">
      <c r="A78" s="51" t="s">
        <v>277</v>
      </c>
      <c r="B78" s="52" t="s">
        <v>58</v>
      </c>
      <c r="C78" s="53">
        <v>54176.844799999999</v>
      </c>
      <c r="D78" s="54"/>
      <c r="E78" s="55">
        <f t="shared" si="8"/>
        <v>9055.0766297846076</v>
      </c>
      <c r="F78" s="29">
        <f t="shared" si="9"/>
        <v>9055</v>
      </c>
      <c r="G78" s="29">
        <f t="shared" si="12"/>
        <v>0.11019349999696715</v>
      </c>
      <c r="K78" s="29">
        <f t="shared" si="13"/>
        <v>0.11019349999696715</v>
      </c>
      <c r="O78" s="29">
        <f t="shared" ca="1" si="11"/>
        <v>0.10396504094022865</v>
      </c>
      <c r="Q78" s="56">
        <f t="shared" si="10"/>
        <v>39158.344799999999</v>
      </c>
    </row>
    <row r="79" spans="1:32" s="29" customFormat="1" ht="12.95" customHeight="1" x14ac:dyDescent="0.2">
      <c r="A79" s="51" t="s">
        <v>277</v>
      </c>
      <c r="B79" s="52" t="s">
        <v>58</v>
      </c>
      <c r="C79" s="53">
        <v>54212.8004</v>
      </c>
      <c r="D79" s="54"/>
      <c r="E79" s="55">
        <f t="shared" si="8"/>
        <v>9080.0805536418193</v>
      </c>
      <c r="F79" s="29">
        <f t="shared" si="9"/>
        <v>9080</v>
      </c>
      <c r="G79" s="29">
        <f t="shared" si="12"/>
        <v>0.11583599999721628</v>
      </c>
      <c r="K79" s="29">
        <f t="shared" si="13"/>
        <v>0.11583599999721628</v>
      </c>
      <c r="O79" s="29">
        <f t="shared" ca="1" si="11"/>
        <v>0.10458557538021077</v>
      </c>
      <c r="Q79" s="56">
        <f t="shared" si="10"/>
        <v>39194.3004</v>
      </c>
    </row>
    <row r="80" spans="1:32" s="29" customFormat="1" ht="12.95" customHeight="1" x14ac:dyDescent="0.2">
      <c r="A80" s="51" t="s">
        <v>277</v>
      </c>
      <c r="B80" s="52" t="s">
        <v>58</v>
      </c>
      <c r="C80" s="53">
        <v>54248.746800000001</v>
      </c>
      <c r="D80" s="54"/>
      <c r="E80" s="55">
        <f t="shared" si="8"/>
        <v>9105.0780797167827</v>
      </c>
      <c r="F80" s="29">
        <f t="shared" si="9"/>
        <v>9105</v>
      </c>
      <c r="G80" s="29">
        <f t="shared" si="12"/>
        <v>0.11227849999704631</v>
      </c>
      <c r="K80" s="29">
        <f t="shared" si="13"/>
        <v>0.11227849999704631</v>
      </c>
      <c r="O80" s="29">
        <f t="shared" ca="1" si="11"/>
        <v>0.10520610982019291</v>
      </c>
      <c r="Q80" s="56">
        <f t="shared" si="10"/>
        <v>39230.246800000001</v>
      </c>
    </row>
    <row r="81" spans="1:17" s="29" customFormat="1" ht="12.95" customHeight="1" x14ac:dyDescent="0.2">
      <c r="A81" s="51" t="s">
        <v>277</v>
      </c>
      <c r="B81" s="52" t="s">
        <v>58</v>
      </c>
      <c r="C81" s="53">
        <v>54258.814400000003</v>
      </c>
      <c r="D81" s="54"/>
      <c r="E81" s="55">
        <f t="shared" si="8"/>
        <v>9112.0792006499578</v>
      </c>
      <c r="F81" s="29">
        <f t="shared" si="9"/>
        <v>9112</v>
      </c>
      <c r="G81" s="29">
        <f t="shared" si="12"/>
        <v>0.11389039999630768</v>
      </c>
      <c r="K81" s="29">
        <f t="shared" si="13"/>
        <v>0.11389039999630768</v>
      </c>
      <c r="O81" s="29">
        <f t="shared" ca="1" si="11"/>
        <v>0.10537985946338788</v>
      </c>
      <c r="Q81" s="56">
        <f t="shared" si="10"/>
        <v>39240.314400000003</v>
      </c>
    </row>
    <row r="82" spans="1:17" s="29" customFormat="1" ht="12.95" customHeight="1" x14ac:dyDescent="0.2">
      <c r="A82" s="55" t="s">
        <v>67</v>
      </c>
      <c r="B82" s="10" t="s">
        <v>58</v>
      </c>
      <c r="C82" s="9">
        <v>54583.807699999998</v>
      </c>
      <c r="D82" s="9">
        <v>5.0000000000000001E-4</v>
      </c>
      <c r="E82" s="55">
        <f t="shared" si="8"/>
        <v>9338.0831535058096</v>
      </c>
      <c r="F82" s="29">
        <f t="shared" si="9"/>
        <v>9338</v>
      </c>
      <c r="G82" s="29">
        <f t="shared" si="12"/>
        <v>0.11957459999393905</v>
      </c>
      <c r="K82" s="29">
        <f t="shared" si="13"/>
        <v>0.11957459999393905</v>
      </c>
      <c r="O82" s="29">
        <f t="shared" ca="1" si="11"/>
        <v>0.11098949080082621</v>
      </c>
      <c r="Q82" s="56">
        <f t="shared" si="10"/>
        <v>39565.307699999998</v>
      </c>
    </row>
    <row r="83" spans="1:17" s="29" customFormat="1" ht="12.95" customHeight="1" x14ac:dyDescent="0.2">
      <c r="A83" s="55" t="s">
        <v>67</v>
      </c>
      <c r="B83" s="10" t="s">
        <v>58</v>
      </c>
      <c r="C83" s="9">
        <v>54596.749499999998</v>
      </c>
      <c r="D83" s="9">
        <v>2.0000000000000001E-4</v>
      </c>
      <c r="E83" s="55">
        <f t="shared" si="8"/>
        <v>9347.0830250633771</v>
      </c>
      <c r="F83" s="29">
        <f t="shared" si="9"/>
        <v>9347</v>
      </c>
      <c r="G83" s="29">
        <f t="shared" si="12"/>
        <v>0.11938989999180194</v>
      </c>
      <c r="K83" s="29">
        <f t="shared" si="13"/>
        <v>0.11938989999180194</v>
      </c>
      <c r="O83" s="29">
        <f t="shared" ca="1" si="11"/>
        <v>0.11121288319921976</v>
      </c>
      <c r="Q83" s="56">
        <f t="shared" si="10"/>
        <v>39578.249499999998</v>
      </c>
    </row>
    <row r="84" spans="1:17" s="29" customFormat="1" ht="12.95" customHeight="1" x14ac:dyDescent="0.2">
      <c r="A84" s="55" t="s">
        <v>66</v>
      </c>
      <c r="B84" s="10" t="s">
        <v>58</v>
      </c>
      <c r="C84" s="9">
        <v>54980.700100000002</v>
      </c>
      <c r="D84" s="9">
        <v>2.0000000000000001E-4</v>
      </c>
      <c r="E84" s="55">
        <f t="shared" si="8"/>
        <v>9614.0865396016106</v>
      </c>
      <c r="F84" s="29">
        <f t="shared" si="9"/>
        <v>9614</v>
      </c>
      <c r="G84" s="29">
        <f t="shared" si="12"/>
        <v>0.12444379999942612</v>
      </c>
      <c r="K84" s="29">
        <f t="shared" si="13"/>
        <v>0.12444379999942612</v>
      </c>
      <c r="O84" s="29">
        <f t="shared" ca="1" si="11"/>
        <v>0.11784019101822876</v>
      </c>
      <c r="Q84" s="56">
        <f t="shared" si="10"/>
        <v>39962.200100000002</v>
      </c>
    </row>
    <row r="85" spans="1:17" s="29" customFormat="1" ht="12.95" customHeight="1" x14ac:dyDescent="0.2">
      <c r="A85" s="9" t="s">
        <v>65</v>
      </c>
      <c r="B85" s="10" t="s">
        <v>58</v>
      </c>
      <c r="C85" s="9">
        <v>55660.882899999997</v>
      </c>
      <c r="D85" s="9">
        <v>2.9999999999999997E-4</v>
      </c>
      <c r="E85" s="55">
        <f t="shared" ref="E85:E101" si="14">+(C85-C$7)/C$8</f>
        <v>10087.093218399488</v>
      </c>
      <c r="F85" s="29">
        <f t="shared" ref="F85:F103" si="15">ROUND(2*E85,0)/2</f>
        <v>10087</v>
      </c>
      <c r="G85" s="29">
        <f t="shared" si="12"/>
        <v>0.13404789999185596</v>
      </c>
      <c r="K85" s="29">
        <f t="shared" si="13"/>
        <v>0.13404789999185596</v>
      </c>
      <c r="O85" s="29">
        <f t="shared" ca="1" si="11"/>
        <v>0.12958070262269039</v>
      </c>
      <c r="Q85" s="56">
        <f t="shared" ref="Q85:Q101" si="16">+C85-15018.5</f>
        <v>40642.382899999997</v>
      </c>
    </row>
    <row r="86" spans="1:17" s="29" customFormat="1" ht="12.95" customHeight="1" x14ac:dyDescent="0.2">
      <c r="A86" s="9" t="s">
        <v>68</v>
      </c>
      <c r="B86" s="10" t="s">
        <v>58</v>
      </c>
      <c r="C86" s="9">
        <v>56093.727400000003</v>
      </c>
      <c r="D86" s="9">
        <v>4.0000000000000002E-4</v>
      </c>
      <c r="E86" s="55">
        <f t="shared" si="14"/>
        <v>10388.098094413603</v>
      </c>
      <c r="F86" s="29">
        <f t="shared" si="15"/>
        <v>10388</v>
      </c>
      <c r="G86" s="29">
        <f t="shared" si="12"/>
        <v>0.1410595999986981</v>
      </c>
      <c r="K86" s="29">
        <f t="shared" si="13"/>
        <v>0.1410595999986981</v>
      </c>
      <c r="O86" s="29">
        <f t="shared" ca="1" si="11"/>
        <v>0.13705193728007509</v>
      </c>
      <c r="Q86" s="56">
        <f t="shared" si="16"/>
        <v>41075.227400000003</v>
      </c>
    </row>
    <row r="87" spans="1:17" s="29" customFormat="1" ht="12.95" customHeight="1" x14ac:dyDescent="0.2">
      <c r="A87" s="59" t="s">
        <v>69</v>
      </c>
      <c r="B87" s="60" t="s">
        <v>58</v>
      </c>
      <c r="C87" s="61">
        <v>56428.786999999997</v>
      </c>
      <c r="D87" s="61">
        <v>2.0000000000000001E-4</v>
      </c>
      <c r="E87" s="55">
        <f t="shared" si="14"/>
        <v>10621.102264168179</v>
      </c>
      <c r="F87" s="29">
        <f t="shared" si="15"/>
        <v>10621</v>
      </c>
      <c r="G87" s="29">
        <f t="shared" si="12"/>
        <v>0.14705569999205181</v>
      </c>
      <c r="K87" s="29">
        <f t="shared" si="13"/>
        <v>0.14705569999205181</v>
      </c>
      <c r="O87" s="29">
        <f t="shared" ca="1" si="11"/>
        <v>0.14283531826070839</v>
      </c>
      <c r="Q87" s="56">
        <f t="shared" si="16"/>
        <v>41410.286999999997</v>
      </c>
    </row>
    <row r="88" spans="1:17" s="29" customFormat="1" ht="12.95" customHeight="1" x14ac:dyDescent="0.2">
      <c r="A88" s="62" t="s">
        <v>316</v>
      </c>
      <c r="B88" s="63" t="s">
        <v>58</v>
      </c>
      <c r="C88" s="64">
        <v>57786.284800000001</v>
      </c>
      <c r="D88" s="65" t="s">
        <v>79</v>
      </c>
      <c r="E88" s="55">
        <f t="shared" si="14"/>
        <v>11565.121321770685</v>
      </c>
      <c r="F88" s="29">
        <f t="shared" si="15"/>
        <v>11565</v>
      </c>
      <c r="G88" s="29">
        <f t="shared" si="12"/>
        <v>0.1744604999985313</v>
      </c>
      <c r="K88" s="29">
        <f t="shared" si="13"/>
        <v>0.1744604999985313</v>
      </c>
      <c r="O88" s="29">
        <f t="shared" ca="1" si="11"/>
        <v>0.16626669871443311</v>
      </c>
      <c r="Q88" s="56">
        <f t="shared" si="16"/>
        <v>42767.784800000001</v>
      </c>
    </row>
    <row r="89" spans="1:17" s="29" customFormat="1" ht="12.95" customHeight="1" x14ac:dyDescent="0.2">
      <c r="A89" s="24" t="s">
        <v>315</v>
      </c>
      <c r="B89" s="25" t="s">
        <v>58</v>
      </c>
      <c r="C89" s="24">
        <v>57866.813399999999</v>
      </c>
      <c r="D89" s="24">
        <v>1E-4</v>
      </c>
      <c r="E89" s="55">
        <f t="shared" si="14"/>
        <v>11621.121805220489</v>
      </c>
      <c r="F89" s="29">
        <f t="shared" si="15"/>
        <v>11621</v>
      </c>
      <c r="G89" s="29">
        <f t="shared" si="12"/>
        <v>0.17515569999522995</v>
      </c>
      <c r="K89" s="29">
        <f t="shared" si="13"/>
        <v>0.17515569999522995</v>
      </c>
      <c r="O89" s="29">
        <f t="shared" ca="1" si="11"/>
        <v>0.16765669585999304</v>
      </c>
      <c r="Q89" s="56">
        <f t="shared" si="16"/>
        <v>42848.313399999999</v>
      </c>
    </row>
    <row r="90" spans="1:17" s="29" customFormat="1" ht="12.95" customHeight="1" x14ac:dyDescent="0.2">
      <c r="A90" s="24" t="s">
        <v>315</v>
      </c>
      <c r="B90" s="25" t="s">
        <v>58</v>
      </c>
      <c r="C90" s="24">
        <v>57928.649299999997</v>
      </c>
      <c r="D90" s="24">
        <v>1E-4</v>
      </c>
      <c r="E90" s="55">
        <f t="shared" si="14"/>
        <v>11664.123177336158</v>
      </c>
      <c r="F90" s="29">
        <f t="shared" si="15"/>
        <v>11664</v>
      </c>
      <c r="G90" s="29">
        <f t="shared" si="12"/>
        <v>0.17712879999453435</v>
      </c>
      <c r="K90" s="29">
        <f t="shared" si="13"/>
        <v>0.17712879999453435</v>
      </c>
      <c r="O90" s="29">
        <f t="shared" ca="1" si="11"/>
        <v>0.16872401509676227</v>
      </c>
      <c r="Q90" s="56">
        <f t="shared" si="16"/>
        <v>42910.149299999997</v>
      </c>
    </row>
    <row r="91" spans="1:17" s="29" customFormat="1" ht="12.95" customHeight="1" x14ac:dyDescent="0.2">
      <c r="A91" s="24" t="s">
        <v>315</v>
      </c>
      <c r="B91" s="25" t="s">
        <v>58</v>
      </c>
      <c r="C91" s="24">
        <v>57951.658499999998</v>
      </c>
      <c r="D91" s="24">
        <v>1E-4</v>
      </c>
      <c r="E91" s="55">
        <f t="shared" si="14"/>
        <v>11680.124030744677</v>
      </c>
      <c r="F91" s="29">
        <f t="shared" si="15"/>
        <v>11680</v>
      </c>
      <c r="G91" s="29">
        <f t="shared" si="12"/>
        <v>0.17835599999671103</v>
      </c>
      <c r="K91" s="29">
        <f t="shared" si="13"/>
        <v>0.17835599999671103</v>
      </c>
      <c r="O91" s="29">
        <f t="shared" ca="1" si="11"/>
        <v>0.1691211571383508</v>
      </c>
      <c r="Q91" s="56">
        <f t="shared" si="16"/>
        <v>42933.158499999998</v>
      </c>
    </row>
    <row r="92" spans="1:17" s="29" customFormat="1" ht="12.95" customHeight="1" x14ac:dyDescent="0.2">
      <c r="A92" s="66" t="s">
        <v>317</v>
      </c>
      <c r="B92" s="8" t="s">
        <v>58</v>
      </c>
      <c r="C92" s="7">
        <v>58299.658000000003</v>
      </c>
      <c r="D92" s="7">
        <v>1E-4</v>
      </c>
      <c r="E92" s="55">
        <f t="shared" si="14"/>
        <v>11922.126750775713</v>
      </c>
      <c r="F92" s="29">
        <f t="shared" si="15"/>
        <v>11922</v>
      </c>
      <c r="G92" s="29">
        <f t="shared" si="12"/>
        <v>0.18226739999954589</v>
      </c>
      <c r="K92" s="29">
        <f t="shared" si="13"/>
        <v>0.18226739999954589</v>
      </c>
      <c r="O92" s="29">
        <f t="shared" ca="1" si="11"/>
        <v>0.17512793051737768</v>
      </c>
      <c r="Q92" s="56">
        <f t="shared" si="16"/>
        <v>43281.158000000003</v>
      </c>
    </row>
    <row r="93" spans="1:17" s="29" customFormat="1" ht="12.95" customHeight="1" x14ac:dyDescent="0.2">
      <c r="A93" s="66" t="s">
        <v>318</v>
      </c>
      <c r="B93" s="8" t="s">
        <v>58</v>
      </c>
      <c r="C93" s="7">
        <v>58608.8295</v>
      </c>
      <c r="D93" s="7">
        <v>1E-4</v>
      </c>
      <c r="E93" s="55">
        <f t="shared" si="14"/>
        <v>12137.128048065144</v>
      </c>
      <c r="F93" s="29">
        <f t="shared" si="15"/>
        <v>12137</v>
      </c>
      <c r="G93" s="29">
        <f t="shared" si="12"/>
        <v>0.18413289999443805</v>
      </c>
      <c r="K93" s="29">
        <f t="shared" si="13"/>
        <v>0.18413289999443805</v>
      </c>
      <c r="O93" s="29">
        <f t="shared" ca="1" si="11"/>
        <v>0.18046452670122393</v>
      </c>
      <c r="Q93" s="56">
        <f t="shared" si="16"/>
        <v>43590.3295</v>
      </c>
    </row>
    <row r="94" spans="1:17" s="29" customFormat="1" ht="12.95" customHeight="1" x14ac:dyDescent="0.2">
      <c r="A94" s="66" t="s">
        <v>318</v>
      </c>
      <c r="B94" s="8" t="s">
        <v>58</v>
      </c>
      <c r="C94" s="7">
        <v>58676.414700000001</v>
      </c>
      <c r="D94" s="7">
        <v>2.0000000000000001E-4</v>
      </c>
      <c r="E94" s="55">
        <f t="shared" si="14"/>
        <v>12184.127547299602</v>
      </c>
      <c r="F94" s="29">
        <f t="shared" si="15"/>
        <v>12184</v>
      </c>
      <c r="G94" s="29">
        <f t="shared" si="12"/>
        <v>0.18341279999731341</v>
      </c>
      <c r="K94" s="29">
        <f t="shared" si="13"/>
        <v>0.18341279999731341</v>
      </c>
      <c r="O94" s="29">
        <f t="shared" ca="1" si="11"/>
        <v>0.18163113144839027</v>
      </c>
      <c r="Q94" s="56">
        <f t="shared" si="16"/>
        <v>43657.914700000001</v>
      </c>
    </row>
    <row r="95" spans="1:17" s="29" customFormat="1" ht="12.95" customHeight="1" x14ac:dyDescent="0.2">
      <c r="A95" s="67" t="s">
        <v>320</v>
      </c>
      <c r="B95" s="68" t="s">
        <v>313</v>
      </c>
      <c r="C95" s="69">
        <v>58930.214999999997</v>
      </c>
      <c r="D95" s="69" t="s">
        <v>79</v>
      </c>
      <c r="E95" s="55">
        <f t="shared" si="14"/>
        <v>12360.623096703239</v>
      </c>
      <c r="F95" s="29">
        <f t="shared" si="15"/>
        <v>12360.5</v>
      </c>
      <c r="G95" s="29">
        <f t="shared" si="12"/>
        <v>0.17701284999202471</v>
      </c>
      <c r="K95" s="29">
        <f t="shared" si="13"/>
        <v>0.17701284999202471</v>
      </c>
      <c r="O95" s="29">
        <f t="shared" ca="1" si="11"/>
        <v>0.186012104594664</v>
      </c>
      <c r="Q95" s="56">
        <f t="shared" si="16"/>
        <v>43911.714999999997</v>
      </c>
    </row>
    <row r="96" spans="1:17" s="29" customFormat="1" ht="12.95" customHeight="1" x14ac:dyDescent="0.2">
      <c r="A96" s="67" t="s">
        <v>320</v>
      </c>
      <c r="B96" s="68" t="s">
        <v>313</v>
      </c>
      <c r="C96" s="69">
        <v>58930.216</v>
      </c>
      <c r="D96" s="69" t="s">
        <v>31</v>
      </c>
      <c r="E96" s="55">
        <f t="shared" si="14"/>
        <v>12360.623792114355</v>
      </c>
      <c r="F96" s="29">
        <f t="shared" si="15"/>
        <v>12360.5</v>
      </c>
      <c r="G96" s="29">
        <f t="shared" si="12"/>
        <v>0.17801284999586642</v>
      </c>
      <c r="K96" s="29">
        <f t="shared" si="13"/>
        <v>0.17801284999586642</v>
      </c>
      <c r="O96" s="29">
        <f t="shared" ca="1" si="11"/>
        <v>0.186012104594664</v>
      </c>
      <c r="Q96" s="56">
        <f t="shared" si="16"/>
        <v>43911.716</v>
      </c>
    </row>
    <row r="97" spans="1:17" s="29" customFormat="1" ht="12.95" customHeight="1" x14ac:dyDescent="0.2">
      <c r="A97" s="67" t="s">
        <v>320</v>
      </c>
      <c r="B97" s="68" t="s">
        <v>313</v>
      </c>
      <c r="C97" s="69">
        <v>58930.218000000001</v>
      </c>
      <c r="D97" s="69" t="s">
        <v>321</v>
      </c>
      <c r="E97" s="55">
        <f t="shared" si="14"/>
        <v>12360.625182936585</v>
      </c>
      <c r="F97" s="29">
        <f t="shared" si="15"/>
        <v>12360.5</v>
      </c>
      <c r="G97" s="29">
        <f t="shared" si="12"/>
        <v>0.18001284999627387</v>
      </c>
      <c r="K97" s="29">
        <f t="shared" si="13"/>
        <v>0.18001284999627387</v>
      </c>
      <c r="O97" s="29">
        <f t="shared" ca="1" si="11"/>
        <v>0.186012104594664</v>
      </c>
      <c r="Q97" s="56">
        <f t="shared" si="16"/>
        <v>43911.718000000001</v>
      </c>
    </row>
    <row r="98" spans="1:17" s="29" customFormat="1" ht="12.95" customHeight="1" x14ac:dyDescent="0.2">
      <c r="A98" s="67" t="s">
        <v>319</v>
      </c>
      <c r="B98" s="68" t="s">
        <v>58</v>
      </c>
      <c r="C98" s="69">
        <v>59018.659599999999</v>
      </c>
      <c r="D98" s="69">
        <v>2.9999999999999997E-4</v>
      </c>
      <c r="E98" s="55">
        <f t="shared" si="14"/>
        <v>12422.12845453294</v>
      </c>
      <c r="F98" s="29">
        <f t="shared" si="15"/>
        <v>12422</v>
      </c>
      <c r="G98" s="29">
        <f t="shared" si="12"/>
        <v>0.18471739999949932</v>
      </c>
      <c r="K98" s="29">
        <f t="shared" si="13"/>
        <v>0.18471739999949932</v>
      </c>
      <c r="O98" s="29">
        <f t="shared" ca="1" si="11"/>
        <v>0.18753861931702004</v>
      </c>
      <c r="Q98" s="56">
        <f t="shared" si="16"/>
        <v>44000.159599999999</v>
      </c>
    </row>
    <row r="99" spans="1:17" s="29" customFormat="1" ht="12.95" customHeight="1" x14ac:dyDescent="0.2">
      <c r="A99" s="66" t="s">
        <v>322</v>
      </c>
      <c r="B99" s="8" t="s">
        <v>58</v>
      </c>
      <c r="C99" s="7">
        <v>59372.409800000001</v>
      </c>
      <c r="D99" s="7">
        <v>2.0000000000000001E-4</v>
      </c>
      <c r="E99" s="55">
        <f t="shared" si="14"/>
        <v>12668.13027525832</v>
      </c>
      <c r="F99" s="29">
        <f t="shared" si="15"/>
        <v>12668</v>
      </c>
      <c r="G99" s="29">
        <f t="shared" ref="G99:G101" si="17">+C99-(C$7+F99*C$8)</f>
        <v>0.18733559999236604</v>
      </c>
      <c r="K99" s="29">
        <f t="shared" si="13"/>
        <v>0.18733559999236604</v>
      </c>
      <c r="O99" s="29">
        <f t="shared" ca="1" si="11"/>
        <v>0.19364467820644404</v>
      </c>
      <c r="Q99" s="56">
        <f t="shared" si="16"/>
        <v>44353.909800000001</v>
      </c>
    </row>
    <row r="100" spans="1:17" s="29" customFormat="1" ht="12.95" customHeight="1" x14ac:dyDescent="0.2">
      <c r="A100" s="26" t="s">
        <v>323</v>
      </c>
      <c r="B100" s="27" t="s">
        <v>58</v>
      </c>
      <c r="C100" s="73">
        <v>59747.731699999997</v>
      </c>
      <c r="D100" s="28">
        <v>2.0000000000000001E-4</v>
      </c>
      <c r="E100" s="55">
        <f t="shared" si="14"/>
        <v>12929.133295915573</v>
      </c>
      <c r="F100" s="29">
        <f t="shared" si="15"/>
        <v>12929</v>
      </c>
      <c r="G100" s="29">
        <f t="shared" si="17"/>
        <v>0.19167929999093758</v>
      </c>
      <c r="K100" s="29">
        <f t="shared" si="13"/>
        <v>0.19167929999093758</v>
      </c>
      <c r="O100" s="29">
        <f t="shared" ca="1" si="11"/>
        <v>0.20012305775985734</v>
      </c>
      <c r="Q100" s="56">
        <f t="shared" si="16"/>
        <v>44729.231699999997</v>
      </c>
    </row>
    <row r="101" spans="1:17" s="29" customFormat="1" ht="12.95" customHeight="1" x14ac:dyDescent="0.2">
      <c r="A101" s="26" t="s">
        <v>323</v>
      </c>
      <c r="B101" s="27" t="s">
        <v>58</v>
      </c>
      <c r="C101" s="73">
        <v>59766.425999999999</v>
      </c>
      <c r="D101" s="28">
        <v>1E-4</v>
      </c>
      <c r="E101" s="55">
        <f t="shared" si="14"/>
        <v>12942.133519907497</v>
      </c>
      <c r="F101" s="29">
        <f t="shared" si="15"/>
        <v>12942</v>
      </c>
      <c r="G101" s="29">
        <f t="shared" si="17"/>
        <v>0.19200139999884414</v>
      </c>
      <c r="K101" s="29">
        <f t="shared" si="13"/>
        <v>0.19200139999884414</v>
      </c>
      <c r="O101" s="29">
        <f t="shared" ca="1" si="11"/>
        <v>0.20044573566864804</v>
      </c>
      <c r="Q101" s="56">
        <f t="shared" si="16"/>
        <v>44747.925999999999</v>
      </c>
    </row>
    <row r="102" spans="1:17" s="29" customFormat="1" ht="12.95" customHeight="1" x14ac:dyDescent="0.2">
      <c r="A102" s="70" t="s">
        <v>324</v>
      </c>
      <c r="B102" s="71" t="s">
        <v>58</v>
      </c>
      <c r="C102" s="28">
        <v>60118.737800000003</v>
      </c>
      <c r="D102" s="28">
        <v>4.0000000000000002E-4</v>
      </c>
      <c r="E102" s="55">
        <f t="shared" ref="E102:E103" si="18">+(C102-C$7)/C$8</f>
        <v>13187.135061286233</v>
      </c>
      <c r="F102" s="29">
        <f t="shared" si="15"/>
        <v>13187</v>
      </c>
      <c r="G102" s="29">
        <f t="shared" ref="G102:G103" si="19">+C102-(C$7+F102*C$8)</f>
        <v>0.19421790000342298</v>
      </c>
      <c r="K102" s="29">
        <f t="shared" ref="K102:K103" si="20">+G102</f>
        <v>0.19421790000342298</v>
      </c>
      <c r="O102" s="29">
        <f t="shared" ref="O102:O103" ca="1" si="21">+C$11+C$12*$F102</f>
        <v>0.20652697318047275</v>
      </c>
      <c r="Q102" s="56">
        <f t="shared" ref="Q102:Q103" si="22">+C102-15018.5</f>
        <v>45100.237800000003</v>
      </c>
    </row>
    <row r="103" spans="1:17" s="29" customFormat="1" ht="12.95" customHeight="1" x14ac:dyDescent="0.2">
      <c r="A103" s="70" t="s">
        <v>324</v>
      </c>
      <c r="B103" s="71" t="s">
        <v>58</v>
      </c>
      <c r="C103" s="28">
        <v>60137.432099999998</v>
      </c>
      <c r="D103" s="28">
        <v>2.9999999999999997E-4</v>
      </c>
      <c r="E103" s="55">
        <f t="shared" si="18"/>
        <v>13200.135285278149</v>
      </c>
      <c r="F103" s="29">
        <f t="shared" si="15"/>
        <v>13200</v>
      </c>
      <c r="G103" s="29">
        <f t="shared" si="19"/>
        <v>0.19453999998950167</v>
      </c>
      <c r="K103" s="29">
        <f t="shared" si="20"/>
        <v>0.19453999998950167</v>
      </c>
      <c r="O103" s="29">
        <f t="shared" ca="1" si="21"/>
        <v>0.20684965108926345</v>
      </c>
      <c r="Q103" s="56">
        <f t="shared" si="22"/>
        <v>45118.932099999998</v>
      </c>
    </row>
    <row r="104" spans="1:17" s="29" customFormat="1" ht="12.95" customHeight="1" x14ac:dyDescent="0.2">
      <c r="C104" s="54"/>
      <c r="D104" s="54"/>
    </row>
    <row r="105" spans="1:17" s="29" customFormat="1" ht="12.95" customHeight="1" x14ac:dyDescent="0.2">
      <c r="C105" s="54"/>
      <c r="D105" s="54"/>
    </row>
    <row r="106" spans="1:17" s="29" customFormat="1" ht="12.95" customHeight="1" x14ac:dyDescent="0.2">
      <c r="C106" s="54"/>
      <c r="D106" s="54"/>
    </row>
    <row r="107" spans="1:17" s="29" customFormat="1" ht="12.95" customHeight="1" x14ac:dyDescent="0.2">
      <c r="C107" s="54"/>
      <c r="D107" s="54"/>
    </row>
    <row r="108" spans="1:17" s="29" customFormat="1" ht="12.95" customHeight="1" x14ac:dyDescent="0.2">
      <c r="C108" s="54"/>
      <c r="D108" s="54"/>
    </row>
    <row r="109" spans="1:17" s="29" customFormat="1" ht="12.95" customHeight="1" x14ac:dyDescent="0.2">
      <c r="C109" s="54"/>
      <c r="D109" s="54"/>
    </row>
    <row r="110" spans="1:17" s="29" customFormat="1" ht="12.95" customHeight="1" x14ac:dyDescent="0.2">
      <c r="C110" s="54"/>
      <c r="D110" s="54"/>
    </row>
    <row r="111" spans="1:17" s="29" customFormat="1" ht="12.95" customHeight="1" x14ac:dyDescent="0.2">
      <c r="C111" s="54"/>
      <c r="D111" s="54"/>
    </row>
    <row r="112" spans="1:17" s="29" customFormat="1" ht="12.95" customHeight="1" x14ac:dyDescent="0.2">
      <c r="C112" s="54"/>
      <c r="D112" s="54"/>
    </row>
    <row r="113" spans="3:4" s="29" customFormat="1" ht="12.95" customHeight="1" x14ac:dyDescent="0.2">
      <c r="C113" s="54"/>
      <c r="D113" s="54"/>
    </row>
    <row r="114" spans="3:4" s="29" customFormat="1" ht="12.95" customHeight="1" x14ac:dyDescent="0.2">
      <c r="C114" s="54"/>
      <c r="D114" s="54"/>
    </row>
    <row r="115" spans="3:4" s="29" customFormat="1" ht="12.95" customHeight="1" x14ac:dyDescent="0.2">
      <c r="C115" s="54"/>
      <c r="D115" s="54"/>
    </row>
    <row r="116" spans="3:4" s="29" customFormat="1" ht="12.95" customHeight="1" x14ac:dyDescent="0.2">
      <c r="C116" s="54"/>
      <c r="D116" s="54"/>
    </row>
    <row r="117" spans="3:4" s="29" customFormat="1" ht="12.95" customHeight="1" x14ac:dyDescent="0.2">
      <c r="C117" s="54"/>
      <c r="D117" s="54"/>
    </row>
    <row r="118" spans="3:4" s="29" customFormat="1" ht="12.95" customHeight="1" x14ac:dyDescent="0.2">
      <c r="C118" s="54"/>
      <c r="D118" s="54"/>
    </row>
    <row r="119" spans="3:4" s="29" customFormat="1" ht="12.95" customHeight="1" x14ac:dyDescent="0.2">
      <c r="C119" s="54"/>
      <c r="D119" s="54"/>
    </row>
    <row r="120" spans="3:4" s="29" customFormat="1" ht="12.95" customHeight="1" x14ac:dyDescent="0.2">
      <c r="C120" s="54"/>
      <c r="D120" s="54"/>
    </row>
    <row r="121" spans="3:4" s="29" customFormat="1" ht="12.95" customHeight="1" x14ac:dyDescent="0.2">
      <c r="C121" s="54"/>
      <c r="D121" s="54"/>
    </row>
    <row r="122" spans="3:4" s="29" customFormat="1" ht="12.95" customHeight="1" x14ac:dyDescent="0.2">
      <c r="C122" s="54"/>
      <c r="D122" s="54"/>
    </row>
    <row r="123" spans="3:4" s="29" customFormat="1" ht="12.95" customHeight="1" x14ac:dyDescent="0.2">
      <c r="C123" s="54"/>
      <c r="D123" s="54"/>
    </row>
    <row r="124" spans="3:4" s="29" customFormat="1" ht="12.95" customHeight="1" x14ac:dyDescent="0.2">
      <c r="C124" s="54"/>
      <c r="D124" s="54"/>
    </row>
    <row r="125" spans="3:4" s="29" customFormat="1" ht="12.95" customHeight="1" x14ac:dyDescent="0.2">
      <c r="C125" s="54"/>
      <c r="D125" s="54"/>
    </row>
    <row r="126" spans="3:4" s="29" customFormat="1" ht="12.95" customHeight="1" x14ac:dyDescent="0.2">
      <c r="C126" s="54"/>
      <c r="D126" s="54"/>
    </row>
    <row r="127" spans="3:4" s="29" customFormat="1" ht="12.95" customHeight="1" x14ac:dyDescent="0.2">
      <c r="C127" s="54"/>
      <c r="D127" s="54"/>
    </row>
    <row r="128" spans="3:4" s="29" customFormat="1" ht="12.95" customHeight="1" x14ac:dyDescent="0.2">
      <c r="C128" s="54"/>
      <c r="D128" s="54"/>
    </row>
    <row r="129" spans="3:4" s="29" customFormat="1" ht="12.95" customHeight="1" x14ac:dyDescent="0.2">
      <c r="C129" s="54"/>
      <c r="D129" s="54"/>
    </row>
    <row r="130" spans="3:4" s="29" customFormat="1" ht="12.95" customHeight="1" x14ac:dyDescent="0.2">
      <c r="C130" s="54"/>
      <c r="D130" s="54"/>
    </row>
    <row r="131" spans="3:4" s="29" customFormat="1" ht="12.95" customHeight="1" x14ac:dyDescent="0.2">
      <c r="C131" s="54"/>
      <c r="D131" s="54"/>
    </row>
    <row r="132" spans="3:4" s="29" customFormat="1" ht="12.95" customHeight="1" x14ac:dyDescent="0.2">
      <c r="C132" s="54"/>
      <c r="D132" s="54"/>
    </row>
    <row r="133" spans="3:4" s="29" customFormat="1" ht="12.95" customHeight="1" x14ac:dyDescent="0.2">
      <c r="C133" s="54"/>
      <c r="D133" s="54"/>
    </row>
    <row r="134" spans="3:4" s="29" customFormat="1" ht="12.95" customHeight="1" x14ac:dyDescent="0.2">
      <c r="C134" s="54"/>
      <c r="D134" s="54"/>
    </row>
    <row r="135" spans="3:4" s="29" customFormat="1" ht="12.95" customHeight="1" x14ac:dyDescent="0.2">
      <c r="C135" s="54"/>
      <c r="D135" s="54"/>
    </row>
    <row r="136" spans="3:4" s="29" customFormat="1" ht="12.95" customHeight="1" x14ac:dyDescent="0.2">
      <c r="C136" s="54"/>
      <c r="D136" s="54"/>
    </row>
    <row r="137" spans="3:4" s="29" customFormat="1" ht="12.95" customHeight="1" x14ac:dyDescent="0.2">
      <c r="C137" s="54"/>
      <c r="D137" s="54"/>
    </row>
    <row r="138" spans="3:4" s="29" customFormat="1" ht="12.95" customHeight="1" x14ac:dyDescent="0.2">
      <c r="C138" s="54"/>
      <c r="D138" s="54"/>
    </row>
    <row r="139" spans="3:4" s="29" customFormat="1" ht="12.95" customHeight="1" x14ac:dyDescent="0.2">
      <c r="C139" s="54"/>
      <c r="D139" s="54"/>
    </row>
    <row r="140" spans="3:4" s="29" customFormat="1" ht="12.95" customHeight="1" x14ac:dyDescent="0.2">
      <c r="C140" s="54"/>
      <c r="D140" s="54"/>
    </row>
    <row r="141" spans="3:4" s="29" customFormat="1" ht="12.95" customHeight="1" x14ac:dyDescent="0.2">
      <c r="C141" s="54"/>
      <c r="D141" s="54"/>
    </row>
    <row r="142" spans="3:4" s="29" customFormat="1" ht="12.95" customHeight="1" x14ac:dyDescent="0.2">
      <c r="C142" s="54"/>
      <c r="D142" s="54"/>
    </row>
    <row r="143" spans="3:4" s="29" customFormat="1" ht="12.95" customHeight="1" x14ac:dyDescent="0.2">
      <c r="C143" s="54"/>
      <c r="D143" s="54"/>
    </row>
    <row r="144" spans="3:4" s="29" customFormat="1" ht="12.95" customHeight="1" x14ac:dyDescent="0.2">
      <c r="C144" s="54"/>
      <c r="D144" s="54"/>
    </row>
    <row r="145" spans="3:4" s="29" customFormat="1" ht="12.95" customHeight="1" x14ac:dyDescent="0.2">
      <c r="C145" s="54"/>
      <c r="D145" s="54"/>
    </row>
    <row r="146" spans="3:4" s="29" customFormat="1" ht="12.95" customHeight="1" x14ac:dyDescent="0.2">
      <c r="C146" s="54"/>
      <c r="D146" s="54"/>
    </row>
    <row r="147" spans="3:4" s="29" customFormat="1" ht="12.95" customHeight="1" x14ac:dyDescent="0.2">
      <c r="C147" s="54"/>
      <c r="D147" s="54"/>
    </row>
    <row r="148" spans="3:4" s="29" customFormat="1" ht="12.95" customHeight="1" x14ac:dyDescent="0.2">
      <c r="C148" s="54"/>
      <c r="D148" s="54"/>
    </row>
    <row r="149" spans="3:4" s="29" customFormat="1" ht="12.95" customHeight="1" x14ac:dyDescent="0.2">
      <c r="C149" s="54"/>
      <c r="D149" s="54"/>
    </row>
    <row r="150" spans="3:4" s="29" customFormat="1" ht="12.95" customHeight="1" x14ac:dyDescent="0.2">
      <c r="C150" s="54"/>
      <c r="D150" s="54"/>
    </row>
    <row r="151" spans="3:4" s="29" customFormat="1" ht="12.95" customHeight="1" x14ac:dyDescent="0.2">
      <c r="C151" s="54"/>
      <c r="D151" s="54"/>
    </row>
    <row r="152" spans="3:4" s="29" customFormat="1" ht="12.95" customHeight="1" x14ac:dyDescent="0.2">
      <c r="C152" s="54"/>
      <c r="D152" s="54"/>
    </row>
    <row r="153" spans="3:4" s="29" customFormat="1" ht="12.95" customHeight="1" x14ac:dyDescent="0.2">
      <c r="C153" s="54"/>
      <c r="D153" s="54"/>
    </row>
    <row r="154" spans="3:4" s="29" customFormat="1" ht="12.95" customHeight="1" x14ac:dyDescent="0.2">
      <c r="C154" s="54"/>
      <c r="D154" s="54"/>
    </row>
    <row r="155" spans="3:4" s="29" customFormat="1" ht="12.95" customHeight="1" x14ac:dyDescent="0.2">
      <c r="C155" s="54"/>
      <c r="D155" s="54"/>
    </row>
    <row r="156" spans="3:4" s="29" customFormat="1" ht="12.95" customHeight="1" x14ac:dyDescent="0.2">
      <c r="C156" s="54"/>
      <c r="D156" s="54"/>
    </row>
    <row r="157" spans="3:4" s="29" customFormat="1" ht="12.95" customHeight="1" x14ac:dyDescent="0.2">
      <c r="C157" s="54"/>
      <c r="D157" s="54"/>
    </row>
    <row r="158" spans="3:4" s="29" customFormat="1" ht="12.95" customHeight="1" x14ac:dyDescent="0.2">
      <c r="C158" s="54"/>
      <c r="D158" s="54"/>
    </row>
    <row r="159" spans="3:4" s="29" customFormat="1" ht="12.95" customHeight="1" x14ac:dyDescent="0.2">
      <c r="C159" s="54"/>
      <c r="D159" s="54"/>
    </row>
    <row r="160" spans="3:4" s="29" customFormat="1" ht="12.95" customHeight="1" x14ac:dyDescent="0.2">
      <c r="C160" s="54"/>
      <c r="D160" s="54"/>
    </row>
    <row r="161" spans="3:4" s="29" customFormat="1" ht="12.95" customHeight="1" x14ac:dyDescent="0.2">
      <c r="C161" s="54"/>
      <c r="D161" s="54"/>
    </row>
    <row r="162" spans="3:4" s="29" customFormat="1" ht="12.95" customHeight="1" x14ac:dyDescent="0.2">
      <c r="C162" s="54"/>
      <c r="D162" s="54"/>
    </row>
    <row r="163" spans="3:4" s="29" customFormat="1" ht="12.95" customHeight="1" x14ac:dyDescent="0.2">
      <c r="C163" s="54"/>
      <c r="D163" s="54"/>
    </row>
    <row r="164" spans="3:4" s="29" customFormat="1" ht="12.95" customHeight="1" x14ac:dyDescent="0.2">
      <c r="C164" s="54"/>
      <c r="D164" s="54"/>
    </row>
    <row r="165" spans="3:4" s="29" customFormat="1" ht="12.95" customHeight="1" x14ac:dyDescent="0.2">
      <c r="C165" s="54"/>
      <c r="D165" s="54"/>
    </row>
    <row r="166" spans="3:4" s="29" customFormat="1" ht="12.95" customHeight="1" x14ac:dyDescent="0.2">
      <c r="C166" s="54"/>
      <c r="D166" s="54"/>
    </row>
    <row r="167" spans="3:4" s="29" customFormat="1" ht="12.95" customHeight="1" x14ac:dyDescent="0.2">
      <c r="C167" s="54"/>
      <c r="D167" s="54"/>
    </row>
    <row r="168" spans="3:4" s="29" customFormat="1" ht="12.95" customHeight="1" x14ac:dyDescent="0.2">
      <c r="C168" s="54"/>
      <c r="D168" s="54"/>
    </row>
    <row r="169" spans="3:4" s="29" customFormat="1" ht="12.95" customHeight="1" x14ac:dyDescent="0.2">
      <c r="C169" s="54"/>
      <c r="D169" s="54"/>
    </row>
    <row r="170" spans="3:4" s="29" customFormat="1" ht="12.95" customHeight="1" x14ac:dyDescent="0.2">
      <c r="C170" s="54"/>
      <c r="D170" s="54"/>
    </row>
    <row r="171" spans="3:4" s="29" customFormat="1" ht="12.95" customHeight="1" x14ac:dyDescent="0.2">
      <c r="C171" s="54"/>
      <c r="D171" s="54"/>
    </row>
    <row r="172" spans="3:4" s="29" customFormat="1" ht="12.95" customHeight="1" x14ac:dyDescent="0.2">
      <c r="C172" s="54"/>
      <c r="D172" s="54"/>
    </row>
    <row r="173" spans="3:4" s="29" customFormat="1" ht="12.95" customHeight="1" x14ac:dyDescent="0.2">
      <c r="C173" s="54"/>
      <c r="D173" s="54"/>
    </row>
    <row r="174" spans="3:4" s="29" customFormat="1" ht="12.95" customHeight="1" x14ac:dyDescent="0.2">
      <c r="C174" s="54"/>
      <c r="D174" s="54"/>
    </row>
    <row r="175" spans="3:4" s="29" customFormat="1" ht="12.95" customHeight="1" x14ac:dyDescent="0.2">
      <c r="C175" s="72"/>
      <c r="D175" s="72"/>
    </row>
    <row r="176" spans="3:4" s="29" customFormat="1" ht="12.95" customHeight="1" x14ac:dyDescent="0.2">
      <c r="C176" s="72"/>
      <c r="D176" s="72"/>
    </row>
    <row r="177" spans="3:4" s="29" customFormat="1" ht="12.95" customHeight="1" x14ac:dyDescent="0.2">
      <c r="C177" s="72"/>
      <c r="D177" s="72"/>
    </row>
    <row r="178" spans="3:4" s="29" customFormat="1" ht="12.95" customHeight="1" x14ac:dyDescent="0.2">
      <c r="C178" s="72"/>
      <c r="D178" s="72"/>
    </row>
    <row r="179" spans="3:4" s="29" customFormat="1" ht="12.95" customHeight="1" x14ac:dyDescent="0.2">
      <c r="C179" s="72"/>
      <c r="D179" s="72"/>
    </row>
    <row r="180" spans="3:4" s="29" customFormat="1" ht="12.95" customHeight="1" x14ac:dyDescent="0.2">
      <c r="C180" s="72"/>
      <c r="D180" s="72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</sheetData>
  <protectedRanges>
    <protectedRange sqref="A92:D98" name="Range1"/>
  </protectedRanges>
  <sortState xmlns:xlrd2="http://schemas.microsoft.com/office/spreadsheetml/2017/richdata2" ref="A21:AG101">
    <sortCondition ref="C21:C1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6"/>
  <sheetViews>
    <sheetView topLeftCell="A26" workbookViewId="0">
      <selection activeCell="A45" sqref="A45:C73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70</v>
      </c>
      <c r="I1" s="12" t="s">
        <v>71</v>
      </c>
      <c r="J1" s="13" t="s">
        <v>72</v>
      </c>
    </row>
    <row r="2" spans="1:16" x14ac:dyDescent="0.2">
      <c r="I2" s="14" t="s">
        <v>73</v>
      </c>
      <c r="J2" s="15" t="s">
        <v>74</v>
      </c>
    </row>
    <row r="3" spans="1:16" x14ac:dyDescent="0.2">
      <c r="A3" s="16" t="s">
        <v>75</v>
      </c>
      <c r="I3" s="14" t="s">
        <v>76</v>
      </c>
      <c r="J3" s="15" t="s">
        <v>77</v>
      </c>
    </row>
    <row r="4" spans="1:16" x14ac:dyDescent="0.2">
      <c r="I4" s="14" t="s">
        <v>78</v>
      </c>
      <c r="J4" s="15" t="s">
        <v>77</v>
      </c>
    </row>
    <row r="5" spans="1:16" ht="13.5" thickBot="1" x14ac:dyDescent="0.25">
      <c r="I5" s="17" t="s">
        <v>79</v>
      </c>
      <c r="J5" s="18" t="s">
        <v>80</v>
      </c>
    </row>
    <row r="10" spans="1:16" ht="13.5" thickBot="1" x14ac:dyDescent="0.25"/>
    <row r="11" spans="1:16" ht="12.75" customHeight="1" thickBot="1" x14ac:dyDescent="0.25">
      <c r="A11" s="4" t="str">
        <f t="shared" ref="A11:A42" si="0">P11</f>
        <v> AJ 60.316 </v>
      </c>
      <c r="B11" s="6" t="str">
        <f t="shared" ref="B11:B42" si="1">IF(H11=INT(H11),"I","II")</f>
        <v>I</v>
      </c>
      <c r="C11" s="4">
        <f t="shared" ref="C11:C42" si="2">1*G11</f>
        <v>34530.773999999998</v>
      </c>
      <c r="D11" s="5" t="str">
        <f t="shared" ref="D11:D42" si="3">VLOOKUP(F11,I$1:J$5,2,FALSE)</f>
        <v>vis</v>
      </c>
      <c r="E11" s="19">
        <f>VLOOKUP(C11,Active!C$21:E$971,3,FALSE)</f>
        <v>-4607.0193546125929</v>
      </c>
      <c r="F11" s="6" t="s">
        <v>79</v>
      </c>
      <c r="G11" s="5" t="str">
        <f t="shared" ref="G11:G42" si="4">MID(I11,3,LEN(I11)-3)</f>
        <v>34530.774</v>
      </c>
      <c r="H11" s="4">
        <f t="shared" ref="H11:H42" si="5">1*K11</f>
        <v>-4607</v>
      </c>
      <c r="I11" s="20" t="s">
        <v>141</v>
      </c>
      <c r="J11" s="21" t="s">
        <v>142</v>
      </c>
      <c r="K11" s="20">
        <v>-4607</v>
      </c>
      <c r="L11" s="20" t="s">
        <v>143</v>
      </c>
      <c r="M11" s="21" t="s">
        <v>144</v>
      </c>
      <c r="N11" s="21" t="s">
        <v>60</v>
      </c>
      <c r="O11" s="22" t="s">
        <v>145</v>
      </c>
      <c r="P11" s="22" t="s">
        <v>146</v>
      </c>
    </row>
    <row r="12" spans="1:16" ht="12.75" customHeight="1" thickBot="1" x14ac:dyDescent="0.25">
      <c r="A12" s="4" t="str">
        <f t="shared" si="0"/>
        <v>IBVS 111 </v>
      </c>
      <c r="B12" s="6" t="str">
        <f t="shared" si="1"/>
        <v>I</v>
      </c>
      <c r="C12" s="4">
        <f t="shared" si="2"/>
        <v>38916.680999999997</v>
      </c>
      <c r="D12" s="5" t="str">
        <f t="shared" si="3"/>
        <v>vis</v>
      </c>
      <c r="E12" s="19">
        <f>VLOOKUP(C12,Active!C$21:E$971,3,FALSE)</f>
        <v>-1557.0108810281672</v>
      </c>
      <c r="F12" s="6" t="s">
        <v>79</v>
      </c>
      <c r="G12" s="5" t="str">
        <f t="shared" si="4"/>
        <v>38916.681</v>
      </c>
      <c r="H12" s="4">
        <f t="shared" si="5"/>
        <v>-1557</v>
      </c>
      <c r="I12" s="20" t="s">
        <v>152</v>
      </c>
      <c r="J12" s="21" t="s">
        <v>153</v>
      </c>
      <c r="K12" s="20">
        <v>-1557</v>
      </c>
      <c r="L12" s="20" t="s">
        <v>154</v>
      </c>
      <c r="M12" s="21" t="s">
        <v>85</v>
      </c>
      <c r="N12" s="21"/>
      <c r="O12" s="22" t="s">
        <v>155</v>
      </c>
      <c r="P12" s="23" t="s">
        <v>156</v>
      </c>
    </row>
    <row r="13" spans="1:16" ht="12.75" customHeight="1" thickBot="1" x14ac:dyDescent="0.25">
      <c r="A13" s="4" t="str">
        <f t="shared" si="0"/>
        <v>IBVS 111 </v>
      </c>
      <c r="B13" s="6" t="str">
        <f t="shared" si="1"/>
        <v>I</v>
      </c>
      <c r="C13" s="4">
        <f t="shared" si="2"/>
        <v>38952.637999999999</v>
      </c>
      <c r="D13" s="5" t="str">
        <f t="shared" si="3"/>
        <v>vis</v>
      </c>
      <c r="E13" s="19">
        <f>VLOOKUP(C13,Active!C$21:E$971,3,FALSE)</f>
        <v>-1532.0059835953939</v>
      </c>
      <c r="F13" s="6" t="s">
        <v>79</v>
      </c>
      <c r="G13" s="5" t="str">
        <f t="shared" si="4"/>
        <v>38952.638</v>
      </c>
      <c r="H13" s="4">
        <f t="shared" si="5"/>
        <v>-1532</v>
      </c>
      <c r="I13" s="20" t="s">
        <v>157</v>
      </c>
      <c r="J13" s="21" t="s">
        <v>158</v>
      </c>
      <c r="K13" s="20">
        <v>-1532</v>
      </c>
      <c r="L13" s="20" t="s">
        <v>159</v>
      </c>
      <c r="M13" s="21" t="s">
        <v>85</v>
      </c>
      <c r="N13" s="21"/>
      <c r="O13" s="22" t="s">
        <v>155</v>
      </c>
      <c r="P13" s="23" t="s">
        <v>156</v>
      </c>
    </row>
    <row r="14" spans="1:16" ht="12.75" customHeight="1" thickBot="1" x14ac:dyDescent="0.25">
      <c r="A14" s="4" t="str">
        <f t="shared" si="0"/>
        <v>IBVS 154 </v>
      </c>
      <c r="B14" s="6" t="str">
        <f t="shared" si="1"/>
        <v>I</v>
      </c>
      <c r="C14" s="4">
        <f t="shared" si="2"/>
        <v>39287.705999999998</v>
      </c>
      <c r="D14" s="5" t="str">
        <f t="shared" si="3"/>
        <v>vis</v>
      </c>
      <c r="E14" s="19">
        <f>VLOOKUP(C14,Active!C$21:E$971,3,FALSE)</f>
        <v>-1298.9959723874535</v>
      </c>
      <c r="F14" s="6" t="s">
        <v>79</v>
      </c>
      <c r="G14" s="5" t="str">
        <f t="shared" si="4"/>
        <v>39287.706</v>
      </c>
      <c r="H14" s="4">
        <f t="shared" si="5"/>
        <v>-1299</v>
      </c>
      <c r="I14" s="20" t="s">
        <v>160</v>
      </c>
      <c r="J14" s="21" t="s">
        <v>161</v>
      </c>
      <c r="K14" s="20">
        <v>-1299</v>
      </c>
      <c r="L14" s="20" t="s">
        <v>162</v>
      </c>
      <c r="M14" s="21" t="s">
        <v>85</v>
      </c>
      <c r="N14" s="21"/>
      <c r="O14" s="22" t="s">
        <v>155</v>
      </c>
      <c r="P14" s="23" t="s">
        <v>163</v>
      </c>
    </row>
    <row r="15" spans="1:16" ht="12.75" customHeight="1" thickBot="1" x14ac:dyDescent="0.25">
      <c r="A15" s="4" t="str">
        <f t="shared" si="0"/>
        <v>IBVS 154 </v>
      </c>
      <c r="B15" s="6" t="str">
        <f t="shared" si="1"/>
        <v>I</v>
      </c>
      <c r="C15" s="4">
        <f t="shared" si="2"/>
        <v>39323.641000000003</v>
      </c>
      <c r="D15" s="5" t="str">
        <f t="shared" si="3"/>
        <v>vis</v>
      </c>
      <c r="E15" s="19">
        <f>VLOOKUP(C15,Active!C$21:E$971,3,FALSE)</f>
        <v>-1274.0063739991906</v>
      </c>
      <c r="F15" s="6" t="s">
        <v>79</v>
      </c>
      <c r="G15" s="5" t="str">
        <f t="shared" si="4"/>
        <v>39323.641</v>
      </c>
      <c r="H15" s="4">
        <f t="shared" si="5"/>
        <v>-1274</v>
      </c>
      <c r="I15" s="20" t="s">
        <v>164</v>
      </c>
      <c r="J15" s="21" t="s">
        <v>165</v>
      </c>
      <c r="K15" s="20">
        <v>-1274</v>
      </c>
      <c r="L15" s="20" t="s">
        <v>159</v>
      </c>
      <c r="M15" s="21" t="s">
        <v>85</v>
      </c>
      <c r="N15" s="21"/>
      <c r="O15" s="22" t="s">
        <v>155</v>
      </c>
      <c r="P15" s="23" t="s">
        <v>163</v>
      </c>
    </row>
    <row r="16" spans="1:16" ht="12.75" customHeight="1" thickBot="1" x14ac:dyDescent="0.25">
      <c r="A16" s="4" t="str">
        <f t="shared" si="0"/>
        <v> ORI 113 </v>
      </c>
      <c r="B16" s="6" t="str">
        <f t="shared" si="1"/>
        <v>I</v>
      </c>
      <c r="C16" s="4">
        <f t="shared" si="2"/>
        <v>40383.438000000002</v>
      </c>
      <c r="D16" s="5" t="str">
        <f t="shared" si="3"/>
        <v>vis</v>
      </c>
      <c r="E16" s="19">
        <f>VLOOKUP(C16,Active!C$21:E$971,3,FALSE)</f>
        <v>-537.01176141863414</v>
      </c>
      <c r="F16" s="6" t="s">
        <v>79</v>
      </c>
      <c r="G16" s="5" t="str">
        <f t="shared" si="4"/>
        <v>40383.438</v>
      </c>
      <c r="H16" s="4">
        <f t="shared" si="5"/>
        <v>-537</v>
      </c>
      <c r="I16" s="20" t="s">
        <v>166</v>
      </c>
      <c r="J16" s="21" t="s">
        <v>167</v>
      </c>
      <c r="K16" s="20">
        <v>-537</v>
      </c>
      <c r="L16" s="20" t="s">
        <v>168</v>
      </c>
      <c r="M16" s="21" t="s">
        <v>85</v>
      </c>
      <c r="N16" s="21"/>
      <c r="O16" s="22" t="s">
        <v>169</v>
      </c>
      <c r="P16" s="22" t="s">
        <v>170</v>
      </c>
    </row>
    <row r="17" spans="1:16" ht="12.75" customHeight="1" thickBot="1" x14ac:dyDescent="0.25">
      <c r="A17" s="4" t="str">
        <f t="shared" si="0"/>
        <v> ORI 119 </v>
      </c>
      <c r="B17" s="6" t="str">
        <f t="shared" si="1"/>
        <v>I</v>
      </c>
      <c r="C17" s="4">
        <f t="shared" si="2"/>
        <v>40741.516000000003</v>
      </c>
      <c r="D17" s="5" t="str">
        <f t="shared" si="3"/>
        <v>vis</v>
      </c>
      <c r="E17" s="19">
        <f>VLOOKUP(C17,Active!C$21:E$971,3,FALSE)</f>
        <v>-288.00034047328165</v>
      </c>
      <c r="F17" s="6" t="s">
        <v>79</v>
      </c>
      <c r="G17" s="5" t="str">
        <f t="shared" si="4"/>
        <v>40741.516</v>
      </c>
      <c r="H17" s="4">
        <f t="shared" si="5"/>
        <v>-288</v>
      </c>
      <c r="I17" s="20" t="s">
        <v>171</v>
      </c>
      <c r="J17" s="21" t="s">
        <v>172</v>
      </c>
      <c r="K17" s="20">
        <v>-288</v>
      </c>
      <c r="L17" s="20" t="s">
        <v>173</v>
      </c>
      <c r="M17" s="21" t="s">
        <v>85</v>
      </c>
      <c r="N17" s="21"/>
      <c r="O17" s="22" t="s">
        <v>169</v>
      </c>
      <c r="P17" s="22" t="s">
        <v>174</v>
      </c>
    </row>
    <row r="18" spans="1:16" ht="12.75" customHeight="1" thickBot="1" x14ac:dyDescent="0.25">
      <c r="A18" s="4" t="str">
        <f t="shared" si="0"/>
        <v> AVSJ 5.36 </v>
      </c>
      <c r="B18" s="6" t="str">
        <f t="shared" si="1"/>
        <v>I</v>
      </c>
      <c r="C18" s="4">
        <f t="shared" si="2"/>
        <v>41096.686000000002</v>
      </c>
      <c r="D18" s="5" t="str">
        <f t="shared" si="3"/>
        <v>vis</v>
      </c>
      <c r="E18" s="19">
        <f>VLOOKUP(C18,Active!C$21:E$971,3,FALSE)</f>
        <v>-41.011175047983002</v>
      </c>
      <c r="F18" s="6" t="s">
        <v>79</v>
      </c>
      <c r="G18" s="5" t="str">
        <f t="shared" si="4"/>
        <v>41096.686</v>
      </c>
      <c r="H18" s="4">
        <f t="shared" si="5"/>
        <v>-41</v>
      </c>
      <c r="I18" s="20" t="s">
        <v>175</v>
      </c>
      <c r="J18" s="21" t="s">
        <v>176</v>
      </c>
      <c r="K18" s="20">
        <v>-41</v>
      </c>
      <c r="L18" s="20" t="s">
        <v>154</v>
      </c>
      <c r="M18" s="21" t="s">
        <v>85</v>
      </c>
      <c r="N18" s="21"/>
      <c r="O18" s="22" t="s">
        <v>177</v>
      </c>
      <c r="P18" s="22" t="s">
        <v>178</v>
      </c>
    </row>
    <row r="19" spans="1:16" ht="12.75" customHeight="1" thickBot="1" x14ac:dyDescent="0.25">
      <c r="A19" s="4" t="str">
        <f t="shared" si="0"/>
        <v> AVSJ 5.36 </v>
      </c>
      <c r="B19" s="6" t="str">
        <f t="shared" si="1"/>
        <v>I</v>
      </c>
      <c r="C19" s="4">
        <f t="shared" si="2"/>
        <v>41152.771000000001</v>
      </c>
      <c r="D19" s="5" t="str">
        <f t="shared" si="3"/>
        <v>vis</v>
      </c>
      <c r="E19" s="19">
        <f>VLOOKUP(C19,Active!C$21:E$971,3,FALSE)</f>
        <v>-2.0090427088841842</v>
      </c>
      <c r="F19" s="6" t="s">
        <v>79</v>
      </c>
      <c r="G19" s="5" t="str">
        <f t="shared" si="4"/>
        <v>41152.771</v>
      </c>
      <c r="H19" s="4">
        <f t="shared" si="5"/>
        <v>-2</v>
      </c>
      <c r="I19" s="20" t="s">
        <v>179</v>
      </c>
      <c r="J19" s="21" t="s">
        <v>180</v>
      </c>
      <c r="K19" s="20">
        <v>-2</v>
      </c>
      <c r="L19" s="20" t="s">
        <v>117</v>
      </c>
      <c r="M19" s="21" t="s">
        <v>85</v>
      </c>
      <c r="N19" s="21"/>
      <c r="O19" s="22" t="s">
        <v>177</v>
      </c>
      <c r="P19" s="22" t="s">
        <v>178</v>
      </c>
    </row>
    <row r="20" spans="1:16" ht="12.75" customHeight="1" thickBot="1" x14ac:dyDescent="0.25">
      <c r="A20" s="4" t="str">
        <f t="shared" si="0"/>
        <v> AVSJ 5.36 </v>
      </c>
      <c r="B20" s="6" t="str">
        <f t="shared" si="1"/>
        <v>I</v>
      </c>
      <c r="C20" s="4">
        <f t="shared" si="2"/>
        <v>41155.656000000003</v>
      </c>
      <c r="D20" s="5" t="str">
        <f t="shared" si="3"/>
        <v>vis</v>
      </c>
      <c r="E20" s="19">
        <f>VLOOKUP(C20,Active!C$21:E$971,3,FALSE)</f>
        <v>-2.7816444573090992E-3</v>
      </c>
      <c r="F20" s="6" t="s">
        <v>79</v>
      </c>
      <c r="G20" s="5" t="str">
        <f t="shared" si="4"/>
        <v>41155.656</v>
      </c>
      <c r="H20" s="4">
        <f t="shared" si="5"/>
        <v>0</v>
      </c>
      <c r="I20" s="20" t="s">
        <v>181</v>
      </c>
      <c r="J20" s="21" t="s">
        <v>182</v>
      </c>
      <c r="K20" s="20">
        <v>0</v>
      </c>
      <c r="L20" s="20" t="s">
        <v>183</v>
      </c>
      <c r="M20" s="21" t="s">
        <v>85</v>
      </c>
      <c r="N20" s="21"/>
      <c r="O20" s="22" t="s">
        <v>177</v>
      </c>
      <c r="P20" s="22" t="s">
        <v>178</v>
      </c>
    </row>
    <row r="21" spans="1:16" ht="12.75" customHeight="1" thickBot="1" x14ac:dyDescent="0.25">
      <c r="A21" s="4" t="str">
        <f t="shared" si="0"/>
        <v> AVSJ 5.36 </v>
      </c>
      <c r="B21" s="6" t="str">
        <f t="shared" si="1"/>
        <v>I</v>
      </c>
      <c r="C21" s="4">
        <f t="shared" si="2"/>
        <v>41536.712</v>
      </c>
      <c r="D21" s="5" t="str">
        <f t="shared" si="3"/>
        <v>vis</v>
      </c>
      <c r="E21" s="19">
        <f>VLOOKUP(C21,Active!C$21:E$971,3,FALSE)</f>
        <v>264.98779588264881</v>
      </c>
      <c r="F21" s="6" t="s">
        <v>79</v>
      </c>
      <c r="G21" s="5" t="str">
        <f t="shared" si="4"/>
        <v>41536.712</v>
      </c>
      <c r="H21" s="4">
        <f t="shared" si="5"/>
        <v>265</v>
      </c>
      <c r="I21" s="20" t="s">
        <v>184</v>
      </c>
      <c r="J21" s="21" t="s">
        <v>185</v>
      </c>
      <c r="K21" s="20">
        <v>265</v>
      </c>
      <c r="L21" s="20" t="s">
        <v>186</v>
      </c>
      <c r="M21" s="21" t="s">
        <v>85</v>
      </c>
      <c r="N21" s="21"/>
      <c r="O21" s="22" t="s">
        <v>187</v>
      </c>
      <c r="P21" s="22" t="s">
        <v>178</v>
      </c>
    </row>
    <row r="22" spans="1:16" ht="12.75" customHeight="1" thickBot="1" x14ac:dyDescent="0.25">
      <c r="A22" s="4" t="str">
        <f t="shared" si="0"/>
        <v> AOEB 5 </v>
      </c>
      <c r="B22" s="6" t="str">
        <f t="shared" si="1"/>
        <v>I</v>
      </c>
      <c r="C22" s="4">
        <f t="shared" si="2"/>
        <v>43286.771000000001</v>
      </c>
      <c r="D22" s="5" t="str">
        <f t="shared" si="3"/>
        <v>vis</v>
      </c>
      <c r="E22" s="19">
        <f>VLOOKUP(C22,Active!C$21:E$971,3,FALSE)</f>
        <v>1481.9982749631881</v>
      </c>
      <c r="F22" s="6" t="s">
        <v>79</v>
      </c>
      <c r="G22" s="5" t="str">
        <f t="shared" si="4"/>
        <v>43286.771</v>
      </c>
      <c r="H22" s="4">
        <f t="shared" si="5"/>
        <v>1482</v>
      </c>
      <c r="I22" s="20" t="s">
        <v>188</v>
      </c>
      <c r="J22" s="21" t="s">
        <v>189</v>
      </c>
      <c r="K22" s="20">
        <v>1482</v>
      </c>
      <c r="L22" s="20" t="s">
        <v>97</v>
      </c>
      <c r="M22" s="21" t="s">
        <v>85</v>
      </c>
      <c r="N22" s="21"/>
      <c r="O22" s="22" t="s">
        <v>190</v>
      </c>
      <c r="P22" s="22" t="s">
        <v>191</v>
      </c>
    </row>
    <row r="23" spans="1:16" ht="12.75" customHeight="1" thickBot="1" x14ac:dyDescent="0.25">
      <c r="A23" s="4" t="str">
        <f t="shared" si="0"/>
        <v> AOEB 5 </v>
      </c>
      <c r="B23" s="6" t="str">
        <f t="shared" si="1"/>
        <v>I</v>
      </c>
      <c r="C23" s="4">
        <f t="shared" si="2"/>
        <v>43982.781000000003</v>
      </c>
      <c r="D23" s="5" t="str">
        <f t="shared" si="3"/>
        <v>vis</v>
      </c>
      <c r="E23" s="19">
        <f>VLOOKUP(C23,Active!C$21:E$971,3,FALSE)</f>
        <v>1966.0113645475096</v>
      </c>
      <c r="F23" s="6" t="s">
        <v>79</v>
      </c>
      <c r="G23" s="5" t="str">
        <f t="shared" si="4"/>
        <v>43982.781</v>
      </c>
      <c r="H23" s="4">
        <f t="shared" si="5"/>
        <v>1966</v>
      </c>
      <c r="I23" s="20" t="s">
        <v>192</v>
      </c>
      <c r="J23" s="21" t="s">
        <v>193</v>
      </c>
      <c r="K23" s="20">
        <v>1966</v>
      </c>
      <c r="L23" s="20" t="s">
        <v>194</v>
      </c>
      <c r="M23" s="21" t="s">
        <v>85</v>
      </c>
      <c r="N23" s="21"/>
      <c r="O23" s="22" t="s">
        <v>190</v>
      </c>
      <c r="P23" s="22" t="s">
        <v>191</v>
      </c>
    </row>
    <row r="24" spans="1:16" ht="12.75" customHeight="1" thickBot="1" x14ac:dyDescent="0.25">
      <c r="A24" s="4" t="str">
        <f t="shared" si="0"/>
        <v> AOEB 5 </v>
      </c>
      <c r="B24" s="6" t="str">
        <f t="shared" si="1"/>
        <v>I</v>
      </c>
      <c r="C24" s="4">
        <f t="shared" si="2"/>
        <v>45082.86</v>
      </c>
      <c r="D24" s="5" t="str">
        <f t="shared" si="3"/>
        <v>vis</v>
      </c>
      <c r="E24" s="19">
        <f>VLOOKUP(C24,Active!C$21:E$971,3,FALSE)</f>
        <v>2731.0185276296897</v>
      </c>
      <c r="F24" s="6" t="s">
        <v>79</v>
      </c>
      <c r="G24" s="5" t="str">
        <f t="shared" si="4"/>
        <v>45082.860</v>
      </c>
      <c r="H24" s="4">
        <f t="shared" si="5"/>
        <v>2731</v>
      </c>
      <c r="I24" s="20" t="s">
        <v>195</v>
      </c>
      <c r="J24" s="21" t="s">
        <v>196</v>
      </c>
      <c r="K24" s="20">
        <v>2731</v>
      </c>
      <c r="L24" s="20" t="s">
        <v>197</v>
      </c>
      <c r="M24" s="21" t="s">
        <v>85</v>
      </c>
      <c r="N24" s="21"/>
      <c r="O24" s="22" t="s">
        <v>198</v>
      </c>
      <c r="P24" s="22" t="s">
        <v>191</v>
      </c>
    </row>
    <row r="25" spans="1:16" ht="12.75" customHeight="1" thickBot="1" x14ac:dyDescent="0.25">
      <c r="A25" s="4" t="str">
        <f t="shared" si="0"/>
        <v> AOEB 5 </v>
      </c>
      <c r="B25" s="6" t="str">
        <f t="shared" si="1"/>
        <v>I</v>
      </c>
      <c r="C25" s="4">
        <f t="shared" si="2"/>
        <v>45131.732000000004</v>
      </c>
      <c r="D25" s="5" t="str">
        <f t="shared" si="3"/>
        <v>vis</v>
      </c>
      <c r="E25" s="19">
        <f>VLOOKUP(C25,Active!C$21:E$971,3,FALSE)</f>
        <v>2765.0046596021707</v>
      </c>
      <c r="F25" s="6" t="s">
        <v>79</v>
      </c>
      <c r="G25" s="5" t="str">
        <f t="shared" si="4"/>
        <v>45131.732</v>
      </c>
      <c r="H25" s="4">
        <f t="shared" si="5"/>
        <v>2765</v>
      </c>
      <c r="I25" s="20" t="s">
        <v>199</v>
      </c>
      <c r="J25" s="21" t="s">
        <v>200</v>
      </c>
      <c r="K25" s="20">
        <v>2765</v>
      </c>
      <c r="L25" s="20" t="s">
        <v>90</v>
      </c>
      <c r="M25" s="21" t="s">
        <v>85</v>
      </c>
      <c r="N25" s="21"/>
      <c r="O25" s="22" t="s">
        <v>201</v>
      </c>
      <c r="P25" s="22" t="s">
        <v>191</v>
      </c>
    </row>
    <row r="26" spans="1:16" ht="12.75" customHeight="1" thickBot="1" x14ac:dyDescent="0.25">
      <c r="A26" s="4" t="str">
        <f t="shared" si="0"/>
        <v> AOEB 5 </v>
      </c>
      <c r="B26" s="6" t="str">
        <f t="shared" si="1"/>
        <v>I</v>
      </c>
      <c r="C26" s="4">
        <f t="shared" si="2"/>
        <v>45131.748</v>
      </c>
      <c r="D26" s="5" t="str">
        <f t="shared" si="3"/>
        <v>vis</v>
      </c>
      <c r="E26" s="19">
        <f>VLOOKUP(C26,Active!C$21:E$971,3,FALSE)</f>
        <v>2765.0157861799948</v>
      </c>
      <c r="F26" s="6" t="s">
        <v>79</v>
      </c>
      <c r="G26" s="5" t="str">
        <f t="shared" si="4"/>
        <v>45131.748</v>
      </c>
      <c r="H26" s="4">
        <f t="shared" si="5"/>
        <v>2765</v>
      </c>
      <c r="I26" s="20" t="s">
        <v>202</v>
      </c>
      <c r="J26" s="21" t="s">
        <v>203</v>
      </c>
      <c r="K26" s="20">
        <v>2765</v>
      </c>
      <c r="L26" s="20" t="s">
        <v>204</v>
      </c>
      <c r="M26" s="21" t="s">
        <v>85</v>
      </c>
      <c r="N26" s="21"/>
      <c r="O26" s="22" t="s">
        <v>190</v>
      </c>
      <c r="P26" s="22" t="s">
        <v>191</v>
      </c>
    </row>
    <row r="27" spans="1:16" ht="12.75" customHeight="1" thickBot="1" x14ac:dyDescent="0.25">
      <c r="A27" s="4" t="str">
        <f t="shared" si="0"/>
        <v> AOEB 5 </v>
      </c>
      <c r="B27" s="6" t="str">
        <f t="shared" si="1"/>
        <v>I</v>
      </c>
      <c r="C27" s="4">
        <f t="shared" si="2"/>
        <v>45492.688999999998</v>
      </c>
      <c r="D27" s="5" t="str">
        <f t="shared" si="3"/>
        <v>vis</v>
      </c>
      <c r="E27" s="19">
        <f>VLOOKUP(C27,Active!C$21:E$971,3,FALSE)</f>
        <v>3016.018169145259</v>
      </c>
      <c r="F27" s="6" t="s">
        <v>79</v>
      </c>
      <c r="G27" s="5" t="str">
        <f t="shared" si="4"/>
        <v>45492.689</v>
      </c>
      <c r="H27" s="4">
        <f t="shared" si="5"/>
        <v>3016</v>
      </c>
      <c r="I27" s="20" t="s">
        <v>205</v>
      </c>
      <c r="J27" s="21" t="s">
        <v>206</v>
      </c>
      <c r="K27" s="20">
        <v>3016</v>
      </c>
      <c r="L27" s="20" t="s">
        <v>207</v>
      </c>
      <c r="M27" s="21" t="s">
        <v>85</v>
      </c>
      <c r="N27" s="21"/>
      <c r="O27" s="22" t="s">
        <v>190</v>
      </c>
      <c r="P27" s="22" t="s">
        <v>191</v>
      </c>
    </row>
    <row r="28" spans="1:16" ht="12.75" customHeight="1" thickBot="1" x14ac:dyDescent="0.25">
      <c r="A28" s="4" t="str">
        <f t="shared" si="0"/>
        <v> AOEB 5 </v>
      </c>
      <c r="B28" s="6" t="str">
        <f t="shared" si="1"/>
        <v>I</v>
      </c>
      <c r="C28" s="4">
        <f t="shared" si="2"/>
        <v>46169.945</v>
      </c>
      <c r="D28" s="5" t="str">
        <f t="shared" si="3"/>
        <v>vis</v>
      </c>
      <c r="E28" s="19">
        <f>VLOOKUP(C28,Active!C$21:E$971,3,FALSE)</f>
        <v>3486.989518694143</v>
      </c>
      <c r="F28" s="6" t="s">
        <v>79</v>
      </c>
      <c r="G28" s="5" t="str">
        <f t="shared" si="4"/>
        <v>46169.945</v>
      </c>
      <c r="H28" s="4">
        <f t="shared" si="5"/>
        <v>3487</v>
      </c>
      <c r="I28" s="20" t="s">
        <v>208</v>
      </c>
      <c r="J28" s="21" t="s">
        <v>209</v>
      </c>
      <c r="K28" s="20">
        <v>3487</v>
      </c>
      <c r="L28" s="20" t="s">
        <v>210</v>
      </c>
      <c r="M28" s="21" t="s">
        <v>85</v>
      </c>
      <c r="N28" s="21"/>
      <c r="O28" s="22" t="s">
        <v>211</v>
      </c>
      <c r="P28" s="22" t="s">
        <v>191</v>
      </c>
    </row>
    <row r="29" spans="1:16" ht="12.75" customHeight="1" thickBot="1" x14ac:dyDescent="0.25">
      <c r="A29" s="4" t="str">
        <f t="shared" si="0"/>
        <v> AOEB 5 </v>
      </c>
      <c r="B29" s="6" t="str">
        <f t="shared" si="1"/>
        <v>I</v>
      </c>
      <c r="C29" s="4">
        <f t="shared" si="2"/>
        <v>46208.781000000003</v>
      </c>
      <c r="D29" s="5" t="str">
        <f t="shared" si="3"/>
        <v>vis</v>
      </c>
      <c r="E29" s="19">
        <f>VLOOKUP(C29,Active!C$21:E$971,3,FALSE)</f>
        <v>3513.9965047246574</v>
      </c>
      <c r="F29" s="6" t="s">
        <v>79</v>
      </c>
      <c r="G29" s="5" t="str">
        <f t="shared" si="4"/>
        <v>46208.781</v>
      </c>
      <c r="H29" s="4">
        <f t="shared" si="5"/>
        <v>3514</v>
      </c>
      <c r="I29" s="20" t="s">
        <v>212</v>
      </c>
      <c r="J29" s="21" t="s">
        <v>213</v>
      </c>
      <c r="K29" s="20">
        <v>3514</v>
      </c>
      <c r="L29" s="20" t="s">
        <v>134</v>
      </c>
      <c r="M29" s="21" t="s">
        <v>85</v>
      </c>
      <c r="N29" s="21"/>
      <c r="O29" s="22" t="s">
        <v>214</v>
      </c>
      <c r="P29" s="22" t="s">
        <v>191</v>
      </c>
    </row>
    <row r="30" spans="1:16" ht="12.75" customHeight="1" thickBot="1" x14ac:dyDescent="0.25">
      <c r="A30" s="4" t="str">
        <f t="shared" si="0"/>
        <v> AOEB 5 </v>
      </c>
      <c r="B30" s="6" t="str">
        <f t="shared" si="1"/>
        <v>I</v>
      </c>
      <c r="C30" s="4">
        <f t="shared" si="2"/>
        <v>46247.652000000002</v>
      </c>
      <c r="D30" s="5" t="str">
        <f t="shared" si="3"/>
        <v>vis</v>
      </c>
      <c r="E30" s="19">
        <f>VLOOKUP(C30,Active!C$21:E$971,3,FALSE)</f>
        <v>3541.0278301441649</v>
      </c>
      <c r="F30" s="6" t="s">
        <v>79</v>
      </c>
      <c r="G30" s="5" t="str">
        <f t="shared" si="4"/>
        <v>46247.652</v>
      </c>
      <c r="H30" s="4">
        <f t="shared" si="5"/>
        <v>3541</v>
      </c>
      <c r="I30" s="20" t="s">
        <v>215</v>
      </c>
      <c r="J30" s="21" t="s">
        <v>216</v>
      </c>
      <c r="K30" s="20">
        <v>3541</v>
      </c>
      <c r="L30" s="20" t="s">
        <v>217</v>
      </c>
      <c r="M30" s="21" t="s">
        <v>85</v>
      </c>
      <c r="N30" s="21"/>
      <c r="O30" s="22" t="s">
        <v>190</v>
      </c>
      <c r="P30" s="22" t="s">
        <v>191</v>
      </c>
    </row>
    <row r="31" spans="1:16" ht="12.75" customHeight="1" thickBot="1" x14ac:dyDescent="0.25">
      <c r="A31" s="4" t="str">
        <f t="shared" si="0"/>
        <v> AOEB 5 </v>
      </c>
      <c r="B31" s="6" t="str">
        <f t="shared" si="1"/>
        <v>I</v>
      </c>
      <c r="C31" s="4">
        <f t="shared" si="2"/>
        <v>46566.843999999997</v>
      </c>
      <c r="D31" s="5" t="str">
        <f t="shared" si="3"/>
        <v>vis</v>
      </c>
      <c r="E31" s="19">
        <f>VLOOKUP(C31,Active!C$21:E$971,3,FALSE)</f>
        <v>3762.9974945032923</v>
      </c>
      <c r="F31" s="6" t="s">
        <v>79</v>
      </c>
      <c r="G31" s="5" t="str">
        <f t="shared" si="4"/>
        <v>46566.844</v>
      </c>
      <c r="H31" s="4">
        <f t="shared" si="5"/>
        <v>3763</v>
      </c>
      <c r="I31" s="20" t="s">
        <v>218</v>
      </c>
      <c r="J31" s="21" t="s">
        <v>219</v>
      </c>
      <c r="K31" s="20">
        <v>3763</v>
      </c>
      <c r="L31" s="20" t="s">
        <v>183</v>
      </c>
      <c r="M31" s="21" t="s">
        <v>85</v>
      </c>
      <c r="N31" s="21"/>
      <c r="O31" s="22" t="s">
        <v>211</v>
      </c>
      <c r="P31" s="22" t="s">
        <v>191</v>
      </c>
    </row>
    <row r="32" spans="1:16" ht="12.75" customHeight="1" thickBot="1" x14ac:dyDescent="0.25">
      <c r="A32" s="4" t="str">
        <f t="shared" si="0"/>
        <v> AOEB 5 </v>
      </c>
      <c r="B32" s="6" t="str">
        <f t="shared" si="1"/>
        <v>I</v>
      </c>
      <c r="C32" s="4">
        <f t="shared" si="2"/>
        <v>46940.718999999997</v>
      </c>
      <c r="D32" s="5" t="str">
        <f t="shared" si="3"/>
        <v>vis</v>
      </c>
      <c r="E32" s="19">
        <f>VLOOKUP(C32,Active!C$21:E$971,3,FALSE)</f>
        <v>4022.9943248194336</v>
      </c>
      <c r="F32" s="6" t="s">
        <v>79</v>
      </c>
      <c r="G32" s="5" t="str">
        <f t="shared" si="4"/>
        <v>46940.719</v>
      </c>
      <c r="H32" s="4">
        <f t="shared" si="5"/>
        <v>4023</v>
      </c>
      <c r="I32" s="20" t="s">
        <v>220</v>
      </c>
      <c r="J32" s="21" t="s">
        <v>221</v>
      </c>
      <c r="K32" s="20">
        <v>4023</v>
      </c>
      <c r="L32" s="20" t="s">
        <v>222</v>
      </c>
      <c r="M32" s="21" t="s">
        <v>85</v>
      </c>
      <c r="N32" s="21"/>
      <c r="O32" s="22" t="s">
        <v>211</v>
      </c>
      <c r="P32" s="22" t="s">
        <v>191</v>
      </c>
    </row>
    <row r="33" spans="1:16" ht="12.75" customHeight="1" thickBot="1" x14ac:dyDescent="0.25">
      <c r="A33" s="4" t="str">
        <f t="shared" si="0"/>
        <v> AOEB 5 </v>
      </c>
      <c r="B33" s="6" t="str">
        <f t="shared" si="1"/>
        <v>I</v>
      </c>
      <c r="C33" s="4">
        <f t="shared" si="2"/>
        <v>47344.830999999998</v>
      </c>
      <c r="D33" s="5" t="str">
        <f t="shared" si="3"/>
        <v>vis</v>
      </c>
      <c r="E33" s="19">
        <f>VLOOKUP(C33,Active!C$21:E$971,3,FALSE)</f>
        <v>4304.0183009952061</v>
      </c>
      <c r="F33" s="6" t="s">
        <v>79</v>
      </c>
      <c r="G33" s="5" t="str">
        <f t="shared" si="4"/>
        <v>47344.831</v>
      </c>
      <c r="H33" s="4">
        <f t="shared" si="5"/>
        <v>4304</v>
      </c>
      <c r="I33" s="20" t="s">
        <v>223</v>
      </c>
      <c r="J33" s="21" t="s">
        <v>224</v>
      </c>
      <c r="K33" s="20">
        <v>4304</v>
      </c>
      <c r="L33" s="20" t="s">
        <v>207</v>
      </c>
      <c r="M33" s="21" t="s">
        <v>85</v>
      </c>
      <c r="N33" s="21"/>
      <c r="O33" s="22" t="s">
        <v>211</v>
      </c>
      <c r="P33" s="22" t="s">
        <v>191</v>
      </c>
    </row>
    <row r="34" spans="1:16" ht="12.75" customHeight="1" thickBot="1" x14ac:dyDescent="0.25">
      <c r="A34" s="4" t="str">
        <f t="shared" si="0"/>
        <v> AOEB 5 </v>
      </c>
      <c r="B34" s="6" t="str">
        <f t="shared" si="1"/>
        <v>I</v>
      </c>
      <c r="C34" s="4">
        <f t="shared" si="2"/>
        <v>48762.67</v>
      </c>
      <c r="D34" s="5" t="str">
        <f t="shared" si="3"/>
        <v>vis</v>
      </c>
      <c r="E34" s="19">
        <f>VLOOKUP(C34,Active!C$21:E$971,3,FALSE)</f>
        <v>5289.9992997210038</v>
      </c>
      <c r="F34" s="6" t="s">
        <v>79</v>
      </c>
      <c r="G34" s="5" t="str">
        <f t="shared" si="4"/>
        <v>48762.670</v>
      </c>
      <c r="H34" s="4">
        <f t="shared" si="5"/>
        <v>5290</v>
      </c>
      <c r="I34" s="20" t="s">
        <v>225</v>
      </c>
      <c r="J34" s="21" t="s">
        <v>226</v>
      </c>
      <c r="K34" s="20">
        <v>5290</v>
      </c>
      <c r="L34" s="20" t="s">
        <v>227</v>
      </c>
      <c r="M34" s="21" t="s">
        <v>85</v>
      </c>
      <c r="N34" s="21"/>
      <c r="O34" s="22" t="s">
        <v>190</v>
      </c>
      <c r="P34" s="22" t="s">
        <v>191</v>
      </c>
    </row>
    <row r="35" spans="1:16" ht="12.75" customHeight="1" thickBot="1" x14ac:dyDescent="0.25">
      <c r="A35" s="4" t="str">
        <f t="shared" si="0"/>
        <v> AOEB 5 </v>
      </c>
      <c r="B35" s="6" t="str">
        <f t="shared" si="1"/>
        <v>I</v>
      </c>
      <c r="C35" s="4">
        <f t="shared" si="2"/>
        <v>49875.701999999997</v>
      </c>
      <c r="D35" s="5" t="str">
        <f t="shared" si="3"/>
        <v>vis</v>
      </c>
      <c r="E35" s="19">
        <f>VLOOKUP(C35,Active!C$21:E$971,3,FALSE)</f>
        <v>6064.0141229652318</v>
      </c>
      <c r="F35" s="6" t="s">
        <v>79</v>
      </c>
      <c r="G35" s="5" t="str">
        <f t="shared" si="4"/>
        <v>49875.702</v>
      </c>
      <c r="H35" s="4">
        <f t="shared" si="5"/>
        <v>6064</v>
      </c>
      <c r="I35" s="20" t="s">
        <v>228</v>
      </c>
      <c r="J35" s="21" t="s">
        <v>229</v>
      </c>
      <c r="K35" s="20">
        <v>6064</v>
      </c>
      <c r="L35" s="20" t="s">
        <v>230</v>
      </c>
      <c r="M35" s="21" t="s">
        <v>231</v>
      </c>
      <c r="N35" s="21"/>
      <c r="O35" s="22" t="s">
        <v>214</v>
      </c>
      <c r="P35" s="22" t="s">
        <v>191</v>
      </c>
    </row>
    <row r="36" spans="1:16" ht="12.75" customHeight="1" thickBot="1" x14ac:dyDescent="0.25">
      <c r="A36" s="4" t="str">
        <f t="shared" si="0"/>
        <v> BBS 116 </v>
      </c>
      <c r="B36" s="6" t="str">
        <f t="shared" si="1"/>
        <v>I</v>
      </c>
      <c r="C36" s="4">
        <f t="shared" si="2"/>
        <v>50551.569000000003</v>
      </c>
      <c r="D36" s="5" t="str">
        <f t="shared" si="3"/>
        <v>vis</v>
      </c>
      <c r="E36" s="19">
        <f>VLOOKUP(C36,Active!C$21:E$971,3,FALSE)</f>
        <v>6534.0195464765147</v>
      </c>
      <c r="F36" s="6" t="s">
        <v>79</v>
      </c>
      <c r="G36" s="5" t="str">
        <f t="shared" si="4"/>
        <v>50551.569</v>
      </c>
      <c r="H36" s="4">
        <f t="shared" si="5"/>
        <v>6534</v>
      </c>
      <c r="I36" s="20" t="s">
        <v>232</v>
      </c>
      <c r="J36" s="21" t="s">
        <v>233</v>
      </c>
      <c r="K36" s="20">
        <v>6534</v>
      </c>
      <c r="L36" s="20" t="s">
        <v>234</v>
      </c>
      <c r="M36" s="21" t="s">
        <v>144</v>
      </c>
      <c r="N36" s="21" t="s">
        <v>60</v>
      </c>
      <c r="O36" s="22" t="s">
        <v>235</v>
      </c>
      <c r="P36" s="22" t="s">
        <v>236</v>
      </c>
    </row>
    <row r="37" spans="1:16" ht="12.75" customHeight="1" thickBot="1" x14ac:dyDescent="0.25">
      <c r="A37" s="4" t="str">
        <f t="shared" si="0"/>
        <v>IBVS 5741 </v>
      </c>
      <c r="B37" s="6" t="str">
        <f t="shared" si="1"/>
        <v>I</v>
      </c>
      <c r="C37" s="4">
        <f t="shared" si="2"/>
        <v>53450.637199999997</v>
      </c>
      <c r="D37" s="5" t="str">
        <f t="shared" si="3"/>
        <v>vis</v>
      </c>
      <c r="E37" s="19">
        <f>VLOOKUP(C37,Active!C$21:E$971,3,FALSE)</f>
        <v>8550.0637935385548</v>
      </c>
      <c r="F37" s="6" t="s">
        <v>79</v>
      </c>
      <c r="G37" s="5" t="str">
        <f t="shared" si="4"/>
        <v>53450.6372</v>
      </c>
      <c r="H37" s="4">
        <f t="shared" si="5"/>
        <v>8550</v>
      </c>
      <c r="I37" s="20" t="s">
        <v>258</v>
      </c>
      <c r="J37" s="21" t="s">
        <v>259</v>
      </c>
      <c r="K37" s="20">
        <v>8550</v>
      </c>
      <c r="L37" s="20" t="s">
        <v>260</v>
      </c>
      <c r="M37" s="21" t="s">
        <v>144</v>
      </c>
      <c r="N37" s="21" t="s">
        <v>60</v>
      </c>
      <c r="O37" s="22" t="s">
        <v>261</v>
      </c>
      <c r="P37" s="23" t="s">
        <v>262</v>
      </c>
    </row>
    <row r="38" spans="1:16" ht="12.75" customHeight="1" thickBot="1" x14ac:dyDescent="0.25">
      <c r="A38" s="4" t="str">
        <f t="shared" si="0"/>
        <v>IBVS 5690 </v>
      </c>
      <c r="B38" s="6" t="str">
        <f t="shared" si="1"/>
        <v>I</v>
      </c>
      <c r="C38" s="4">
        <f t="shared" si="2"/>
        <v>53526.856</v>
      </c>
      <c r="D38" s="5" t="str">
        <f t="shared" si="3"/>
        <v>vis</v>
      </c>
      <c r="E38" s="19">
        <f>VLOOKUP(C38,Active!C$21:E$971,3,FALSE)</f>
        <v>8603.0671941684468</v>
      </c>
      <c r="F38" s="6" t="s">
        <v>79</v>
      </c>
      <c r="G38" s="5" t="str">
        <f t="shared" si="4"/>
        <v>53526.8560</v>
      </c>
      <c r="H38" s="4">
        <f t="shared" si="5"/>
        <v>8603</v>
      </c>
      <c r="I38" s="20" t="s">
        <v>263</v>
      </c>
      <c r="J38" s="21" t="s">
        <v>264</v>
      </c>
      <c r="K38" s="20">
        <v>8603</v>
      </c>
      <c r="L38" s="20" t="s">
        <v>265</v>
      </c>
      <c r="M38" s="21" t="s">
        <v>144</v>
      </c>
      <c r="N38" s="21" t="s">
        <v>60</v>
      </c>
      <c r="O38" s="22" t="s">
        <v>266</v>
      </c>
      <c r="P38" s="23" t="s">
        <v>267</v>
      </c>
    </row>
    <row r="39" spans="1:16" ht="12.75" customHeight="1" thickBot="1" x14ac:dyDescent="0.25">
      <c r="A39" s="4" t="str">
        <f t="shared" si="0"/>
        <v>JAAVSO 36(2);186 </v>
      </c>
      <c r="B39" s="6" t="str">
        <f t="shared" si="1"/>
        <v>I</v>
      </c>
      <c r="C39" s="4">
        <f t="shared" si="2"/>
        <v>54583.807699999998</v>
      </c>
      <c r="D39" s="5" t="str">
        <f t="shared" si="3"/>
        <v>vis</v>
      </c>
      <c r="E39" s="19">
        <f>VLOOKUP(C39,Active!C$21:E$971,3,FALSE)</f>
        <v>9338.0831535058096</v>
      </c>
      <c r="F39" s="6" t="s">
        <v>79</v>
      </c>
      <c r="G39" s="5" t="str">
        <f t="shared" si="4"/>
        <v>54583.8077</v>
      </c>
      <c r="H39" s="4">
        <f t="shared" si="5"/>
        <v>9338</v>
      </c>
      <c r="I39" s="20" t="s">
        <v>288</v>
      </c>
      <c r="J39" s="21" t="s">
        <v>289</v>
      </c>
      <c r="K39" s="20">
        <v>9338</v>
      </c>
      <c r="L39" s="20" t="s">
        <v>290</v>
      </c>
      <c r="M39" s="21" t="s">
        <v>231</v>
      </c>
      <c r="N39" s="21" t="s">
        <v>291</v>
      </c>
      <c r="O39" s="22" t="s">
        <v>190</v>
      </c>
      <c r="P39" s="23" t="s">
        <v>292</v>
      </c>
    </row>
    <row r="40" spans="1:16" ht="12.75" customHeight="1" thickBot="1" x14ac:dyDescent="0.25">
      <c r="A40" s="4" t="str">
        <f t="shared" si="0"/>
        <v>JAAVSO 36(2);186 </v>
      </c>
      <c r="B40" s="6" t="str">
        <f t="shared" si="1"/>
        <v>I</v>
      </c>
      <c r="C40" s="4">
        <f t="shared" si="2"/>
        <v>54596.749499999998</v>
      </c>
      <c r="D40" s="5" t="str">
        <f t="shared" si="3"/>
        <v>vis</v>
      </c>
      <c r="E40" s="19">
        <f>VLOOKUP(C40,Active!C$21:E$971,3,FALSE)</f>
        <v>9347.0830250633771</v>
      </c>
      <c r="F40" s="6" t="s">
        <v>79</v>
      </c>
      <c r="G40" s="5" t="str">
        <f t="shared" si="4"/>
        <v>54596.7495</v>
      </c>
      <c r="H40" s="4">
        <f t="shared" si="5"/>
        <v>9347</v>
      </c>
      <c r="I40" s="20" t="s">
        <v>293</v>
      </c>
      <c r="J40" s="21" t="s">
        <v>294</v>
      </c>
      <c r="K40" s="20">
        <v>9347</v>
      </c>
      <c r="L40" s="20" t="s">
        <v>295</v>
      </c>
      <c r="M40" s="21" t="s">
        <v>231</v>
      </c>
      <c r="N40" s="21" t="s">
        <v>291</v>
      </c>
      <c r="O40" s="22" t="s">
        <v>287</v>
      </c>
      <c r="P40" s="23" t="s">
        <v>292</v>
      </c>
    </row>
    <row r="41" spans="1:16" ht="12.75" customHeight="1" thickBot="1" x14ac:dyDescent="0.25">
      <c r="A41" s="4" t="str">
        <f t="shared" si="0"/>
        <v> JAAVSO 38;85 </v>
      </c>
      <c r="B41" s="6" t="str">
        <f t="shared" si="1"/>
        <v>I</v>
      </c>
      <c r="C41" s="4">
        <f t="shared" si="2"/>
        <v>54980.700100000002</v>
      </c>
      <c r="D41" s="5" t="str">
        <f t="shared" si="3"/>
        <v>vis</v>
      </c>
      <c r="E41" s="19">
        <f>VLOOKUP(C41,Active!C$21:E$971,3,FALSE)</f>
        <v>9614.0865396016106</v>
      </c>
      <c r="F41" s="6" t="s">
        <v>79</v>
      </c>
      <c r="G41" s="5" t="str">
        <f t="shared" si="4"/>
        <v>54980.7001</v>
      </c>
      <c r="H41" s="4">
        <f t="shared" si="5"/>
        <v>9614</v>
      </c>
      <c r="I41" s="20" t="s">
        <v>296</v>
      </c>
      <c r="J41" s="21" t="s">
        <v>297</v>
      </c>
      <c r="K41" s="20">
        <v>9614</v>
      </c>
      <c r="L41" s="20" t="s">
        <v>298</v>
      </c>
      <c r="M41" s="21" t="s">
        <v>231</v>
      </c>
      <c r="N41" s="21" t="s">
        <v>240</v>
      </c>
      <c r="O41" s="22" t="s">
        <v>190</v>
      </c>
      <c r="P41" s="22" t="s">
        <v>299</v>
      </c>
    </row>
    <row r="42" spans="1:16" ht="12.75" customHeight="1" thickBot="1" x14ac:dyDescent="0.25">
      <c r="A42" s="4" t="str">
        <f t="shared" si="0"/>
        <v>IBVS 5992 </v>
      </c>
      <c r="B42" s="6" t="str">
        <f t="shared" si="1"/>
        <v>I</v>
      </c>
      <c r="C42" s="4">
        <f t="shared" si="2"/>
        <v>55660.882899999997</v>
      </c>
      <c r="D42" s="5" t="str">
        <f t="shared" si="3"/>
        <v>vis</v>
      </c>
      <c r="E42" s="19">
        <f>VLOOKUP(C42,Active!C$21:E$971,3,FALSE)</f>
        <v>10087.093218399488</v>
      </c>
      <c r="F42" s="6" t="s">
        <v>79</v>
      </c>
      <c r="G42" s="5" t="str">
        <f t="shared" si="4"/>
        <v>55660.8829</v>
      </c>
      <c r="H42" s="4">
        <f t="shared" si="5"/>
        <v>10087</v>
      </c>
      <c r="I42" s="20" t="s">
        <v>300</v>
      </c>
      <c r="J42" s="21" t="s">
        <v>301</v>
      </c>
      <c r="K42" s="20">
        <v>10087</v>
      </c>
      <c r="L42" s="20" t="s">
        <v>302</v>
      </c>
      <c r="M42" s="21" t="s">
        <v>231</v>
      </c>
      <c r="N42" s="21" t="s">
        <v>79</v>
      </c>
      <c r="O42" s="22" t="s">
        <v>303</v>
      </c>
      <c r="P42" s="23" t="s">
        <v>304</v>
      </c>
    </row>
    <row r="43" spans="1:16" ht="12.75" customHeight="1" thickBot="1" x14ac:dyDescent="0.25">
      <c r="A43" s="4" t="str">
        <f t="shared" ref="A43:A73" si="6">P43</f>
        <v>IBVS 6029 </v>
      </c>
      <c r="B43" s="6" t="str">
        <f t="shared" ref="B43:B73" si="7">IF(H43=INT(H43),"I","II")</f>
        <v>I</v>
      </c>
      <c r="C43" s="4">
        <f t="shared" ref="C43:C73" si="8">1*G43</f>
        <v>56093.727400000003</v>
      </c>
      <c r="D43" s="5" t="str">
        <f t="shared" ref="D43:D73" si="9">VLOOKUP(F43,I$1:J$5,2,FALSE)</f>
        <v>vis</v>
      </c>
      <c r="E43" s="19">
        <f>VLOOKUP(C43,Active!C$21:E$971,3,FALSE)</f>
        <v>10388.098094413603</v>
      </c>
      <c r="F43" s="6" t="s">
        <v>79</v>
      </c>
      <c r="G43" s="5" t="str">
        <f t="shared" ref="G43:G73" si="10">MID(I43,3,LEN(I43)-3)</f>
        <v>56093.7274</v>
      </c>
      <c r="H43" s="4">
        <f t="shared" ref="H43:H73" si="11">1*K43</f>
        <v>10388</v>
      </c>
      <c r="I43" s="20" t="s">
        <v>305</v>
      </c>
      <c r="J43" s="21" t="s">
        <v>306</v>
      </c>
      <c r="K43" s="20">
        <v>10388</v>
      </c>
      <c r="L43" s="20" t="s">
        <v>307</v>
      </c>
      <c r="M43" s="21" t="s">
        <v>231</v>
      </c>
      <c r="N43" s="21" t="s">
        <v>79</v>
      </c>
      <c r="O43" s="22" t="s">
        <v>303</v>
      </c>
      <c r="P43" s="23" t="s">
        <v>308</v>
      </c>
    </row>
    <row r="44" spans="1:16" ht="12.75" customHeight="1" thickBot="1" x14ac:dyDescent="0.25">
      <c r="A44" s="4" t="str">
        <f t="shared" si="6"/>
        <v> JAAVSO 41;328 </v>
      </c>
      <c r="B44" s="6" t="str">
        <f t="shared" si="7"/>
        <v>I</v>
      </c>
      <c r="C44" s="4">
        <f t="shared" si="8"/>
        <v>56428.786999999997</v>
      </c>
      <c r="D44" s="5" t="str">
        <f t="shared" si="9"/>
        <v>vis</v>
      </c>
      <c r="E44" s="19">
        <f>VLOOKUP(C44,Active!C$21:E$971,3,FALSE)</f>
        <v>10621.102264168179</v>
      </c>
      <c r="F44" s="6" t="s">
        <v>79</v>
      </c>
      <c r="G44" s="5" t="str">
        <f t="shared" si="10"/>
        <v>56428.7870</v>
      </c>
      <c r="H44" s="4">
        <f t="shared" si="11"/>
        <v>10621</v>
      </c>
      <c r="I44" s="20" t="s">
        <v>309</v>
      </c>
      <c r="J44" s="21" t="s">
        <v>310</v>
      </c>
      <c r="K44" s="20">
        <v>10621</v>
      </c>
      <c r="L44" s="20" t="s">
        <v>311</v>
      </c>
      <c r="M44" s="21" t="s">
        <v>231</v>
      </c>
      <c r="N44" s="21" t="s">
        <v>79</v>
      </c>
      <c r="O44" s="22" t="s">
        <v>190</v>
      </c>
      <c r="P44" s="22" t="s">
        <v>312</v>
      </c>
    </row>
    <row r="45" spans="1:16" ht="12.75" customHeight="1" thickBot="1" x14ac:dyDescent="0.25">
      <c r="A45" s="4" t="str">
        <f t="shared" si="6"/>
        <v> CRAC 19 </v>
      </c>
      <c r="B45" s="6" t="str">
        <f t="shared" si="7"/>
        <v>I</v>
      </c>
      <c r="C45" s="4">
        <f t="shared" si="8"/>
        <v>24299.449000000001</v>
      </c>
      <c r="D45" s="5" t="str">
        <f t="shared" si="9"/>
        <v>vis</v>
      </c>
      <c r="E45" s="19">
        <f>VLOOKUP(C45,Active!C$21:E$971,3,FALSE)</f>
        <v>-11721.996472457584</v>
      </c>
      <c r="F45" s="6" t="s">
        <v>79</v>
      </c>
      <c r="G45" s="5" t="str">
        <f t="shared" si="10"/>
        <v>24299.449</v>
      </c>
      <c r="H45" s="4">
        <f t="shared" si="11"/>
        <v>-11722</v>
      </c>
      <c r="I45" s="20" t="s">
        <v>82</v>
      </c>
      <c r="J45" s="21" t="s">
        <v>83</v>
      </c>
      <c r="K45" s="20">
        <v>-11722</v>
      </c>
      <c r="L45" s="20" t="s">
        <v>84</v>
      </c>
      <c r="M45" s="21" t="s">
        <v>85</v>
      </c>
      <c r="N45" s="21"/>
      <c r="O45" s="22" t="s">
        <v>86</v>
      </c>
      <c r="P45" s="22" t="s">
        <v>87</v>
      </c>
    </row>
    <row r="46" spans="1:16" ht="12.75" customHeight="1" thickBot="1" x14ac:dyDescent="0.25">
      <c r="A46" s="4" t="str">
        <f t="shared" si="6"/>
        <v> AAB 2.29 </v>
      </c>
      <c r="B46" s="6" t="str">
        <f t="shared" si="7"/>
        <v>I</v>
      </c>
      <c r="C46" s="4">
        <f t="shared" si="8"/>
        <v>24322.458999999999</v>
      </c>
      <c r="D46" s="5" t="str">
        <f t="shared" si="9"/>
        <v>vis</v>
      </c>
      <c r="E46" s="19">
        <f>VLOOKUP(C46,Active!C$21:E$971,3,FALSE)</f>
        <v>-11705.995062720174</v>
      </c>
      <c r="F46" s="6" t="s">
        <v>79</v>
      </c>
      <c r="G46" s="5" t="str">
        <f t="shared" si="10"/>
        <v>24322.459</v>
      </c>
      <c r="H46" s="4">
        <f t="shared" si="11"/>
        <v>-11706</v>
      </c>
      <c r="I46" s="20" t="s">
        <v>88</v>
      </c>
      <c r="J46" s="21" t="s">
        <v>89</v>
      </c>
      <c r="K46" s="20">
        <v>-11706</v>
      </c>
      <c r="L46" s="20" t="s">
        <v>90</v>
      </c>
      <c r="M46" s="21" t="s">
        <v>85</v>
      </c>
      <c r="N46" s="21"/>
      <c r="O46" s="22" t="s">
        <v>86</v>
      </c>
      <c r="P46" s="22" t="s">
        <v>91</v>
      </c>
    </row>
    <row r="47" spans="1:16" ht="12.75" customHeight="1" thickBot="1" x14ac:dyDescent="0.25">
      <c r="A47" s="4" t="str">
        <f t="shared" si="6"/>
        <v> AAB 2.29 </v>
      </c>
      <c r="B47" s="6" t="str">
        <f t="shared" si="7"/>
        <v>I</v>
      </c>
      <c r="C47" s="4">
        <f t="shared" si="8"/>
        <v>24325.295999999998</v>
      </c>
      <c r="D47" s="5" t="str">
        <f t="shared" si="9"/>
        <v>vis</v>
      </c>
      <c r="E47" s="19">
        <f>VLOOKUP(C47,Active!C$21:E$971,3,FALSE)</f>
        <v>-11704.022181389229</v>
      </c>
      <c r="F47" s="6" t="s">
        <v>79</v>
      </c>
      <c r="G47" s="5" t="str">
        <f t="shared" si="10"/>
        <v>24325.296</v>
      </c>
      <c r="H47" s="4">
        <f t="shared" si="11"/>
        <v>-11704</v>
      </c>
      <c r="I47" s="20" t="s">
        <v>92</v>
      </c>
      <c r="J47" s="21" t="s">
        <v>93</v>
      </c>
      <c r="K47" s="20">
        <v>-11704</v>
      </c>
      <c r="L47" s="20" t="s">
        <v>94</v>
      </c>
      <c r="M47" s="21" t="s">
        <v>85</v>
      </c>
      <c r="N47" s="21"/>
      <c r="O47" s="22" t="s">
        <v>86</v>
      </c>
      <c r="P47" s="22" t="s">
        <v>91</v>
      </c>
    </row>
    <row r="48" spans="1:16" ht="12.75" customHeight="1" thickBot="1" x14ac:dyDescent="0.25">
      <c r="A48" s="4" t="str">
        <f t="shared" si="6"/>
        <v> AAB 2.29 </v>
      </c>
      <c r="B48" s="6" t="str">
        <f t="shared" si="7"/>
        <v>I</v>
      </c>
      <c r="C48" s="4">
        <f t="shared" si="8"/>
        <v>24598.545999999998</v>
      </c>
      <c r="D48" s="5" t="str">
        <f t="shared" si="9"/>
        <v>vis</v>
      </c>
      <c r="E48" s="19">
        <f>VLOOKUP(C48,Active!C$21:E$971,3,FALSE)</f>
        <v>-11514.001094438014</v>
      </c>
      <c r="F48" s="6" t="s">
        <v>79</v>
      </c>
      <c r="G48" s="5" t="str">
        <f t="shared" si="10"/>
        <v>24598.546</v>
      </c>
      <c r="H48" s="4">
        <f t="shared" si="11"/>
        <v>-11514</v>
      </c>
      <c r="I48" s="20" t="s">
        <v>95</v>
      </c>
      <c r="J48" s="21" t="s">
        <v>96</v>
      </c>
      <c r="K48" s="20">
        <v>-11514</v>
      </c>
      <c r="L48" s="20" t="s">
        <v>97</v>
      </c>
      <c r="M48" s="21" t="s">
        <v>85</v>
      </c>
      <c r="N48" s="21"/>
      <c r="O48" s="22" t="s">
        <v>86</v>
      </c>
      <c r="P48" s="22" t="s">
        <v>91</v>
      </c>
    </row>
    <row r="49" spans="1:16" ht="12.75" customHeight="1" thickBot="1" x14ac:dyDescent="0.25">
      <c r="A49" s="4" t="str">
        <f t="shared" si="6"/>
        <v> AAB 2.29 </v>
      </c>
      <c r="B49" s="6" t="str">
        <f t="shared" si="7"/>
        <v>I</v>
      </c>
      <c r="C49" s="4">
        <f t="shared" si="8"/>
        <v>24621.525000000001</v>
      </c>
      <c r="D49" s="5" t="str">
        <f t="shared" si="9"/>
        <v>vis</v>
      </c>
      <c r="E49" s="19">
        <f>VLOOKUP(C49,Active!C$21:E$971,3,FALSE)</f>
        <v>-11498.021242445142</v>
      </c>
      <c r="F49" s="6" t="s">
        <v>79</v>
      </c>
      <c r="G49" s="5" t="str">
        <f t="shared" si="10"/>
        <v>24621.525</v>
      </c>
      <c r="H49" s="4">
        <f t="shared" si="11"/>
        <v>-11498</v>
      </c>
      <c r="I49" s="20" t="s">
        <v>98</v>
      </c>
      <c r="J49" s="21" t="s">
        <v>99</v>
      </c>
      <c r="K49" s="20">
        <v>-11498</v>
      </c>
      <c r="L49" s="20" t="s">
        <v>100</v>
      </c>
      <c r="M49" s="21" t="s">
        <v>85</v>
      </c>
      <c r="N49" s="21"/>
      <c r="O49" s="22" t="s">
        <v>86</v>
      </c>
      <c r="P49" s="22" t="s">
        <v>91</v>
      </c>
    </row>
    <row r="50" spans="1:16" ht="12.75" customHeight="1" thickBot="1" x14ac:dyDescent="0.25">
      <c r="A50" s="4" t="str">
        <f t="shared" si="6"/>
        <v> AAB 2.29 </v>
      </c>
      <c r="B50" s="6" t="str">
        <f t="shared" si="7"/>
        <v>I</v>
      </c>
      <c r="C50" s="4">
        <f t="shared" si="8"/>
        <v>24644.511999999999</v>
      </c>
      <c r="D50" s="5" t="str">
        <f t="shared" si="9"/>
        <v>vis</v>
      </c>
      <c r="E50" s="19">
        <f>VLOOKUP(C50,Active!C$21:E$971,3,FALSE)</f>
        <v>-11482.035827163359</v>
      </c>
      <c r="F50" s="6" t="s">
        <v>79</v>
      </c>
      <c r="G50" s="5" t="str">
        <f t="shared" si="10"/>
        <v>24644.512</v>
      </c>
      <c r="H50" s="4">
        <f t="shared" si="11"/>
        <v>-11482</v>
      </c>
      <c r="I50" s="20" t="s">
        <v>101</v>
      </c>
      <c r="J50" s="21" t="s">
        <v>102</v>
      </c>
      <c r="K50" s="20">
        <v>-11482</v>
      </c>
      <c r="L50" s="20" t="s">
        <v>103</v>
      </c>
      <c r="M50" s="21" t="s">
        <v>85</v>
      </c>
      <c r="N50" s="21"/>
      <c r="O50" s="22" t="s">
        <v>86</v>
      </c>
      <c r="P50" s="22" t="s">
        <v>91</v>
      </c>
    </row>
    <row r="51" spans="1:16" ht="12.75" customHeight="1" thickBot="1" x14ac:dyDescent="0.25">
      <c r="A51" s="4" t="str">
        <f t="shared" si="6"/>
        <v> AAB 2.29 </v>
      </c>
      <c r="B51" s="6" t="str">
        <f t="shared" si="7"/>
        <v>I</v>
      </c>
      <c r="C51" s="4">
        <f t="shared" si="8"/>
        <v>24647.455000000002</v>
      </c>
      <c r="D51" s="5" t="str">
        <f t="shared" si="9"/>
        <v>vis</v>
      </c>
      <c r="E51" s="19">
        <f>VLOOKUP(C51,Active!C$21:E$971,3,FALSE)</f>
        <v>-11479.989232254309</v>
      </c>
      <c r="F51" s="6" t="s">
        <v>79</v>
      </c>
      <c r="G51" s="5" t="str">
        <f t="shared" si="10"/>
        <v>24647.455</v>
      </c>
      <c r="H51" s="4">
        <f t="shared" si="11"/>
        <v>-11480</v>
      </c>
      <c r="I51" s="20" t="s">
        <v>104</v>
      </c>
      <c r="J51" s="21" t="s">
        <v>105</v>
      </c>
      <c r="K51" s="20">
        <v>-11480</v>
      </c>
      <c r="L51" s="20" t="s">
        <v>106</v>
      </c>
      <c r="M51" s="21" t="s">
        <v>85</v>
      </c>
      <c r="N51" s="21"/>
      <c r="O51" s="22" t="s">
        <v>86</v>
      </c>
      <c r="P51" s="22" t="s">
        <v>91</v>
      </c>
    </row>
    <row r="52" spans="1:16" ht="12.75" customHeight="1" thickBot="1" x14ac:dyDescent="0.25">
      <c r="A52" s="4" t="str">
        <f t="shared" si="6"/>
        <v> AAB 2.29 </v>
      </c>
      <c r="B52" s="6" t="str">
        <f t="shared" si="7"/>
        <v>I</v>
      </c>
      <c r="C52" s="4">
        <f t="shared" si="8"/>
        <v>25386.574000000001</v>
      </c>
      <c r="D52" s="5" t="str">
        <f t="shared" si="9"/>
        <v>vis</v>
      </c>
      <c r="E52" s="19">
        <f>VLOOKUP(C52,Active!C$21:E$971,3,FALSE)</f>
        <v>-10965.997664948562</v>
      </c>
      <c r="F52" s="6" t="s">
        <v>79</v>
      </c>
      <c r="G52" s="5" t="str">
        <f t="shared" si="10"/>
        <v>25386.574</v>
      </c>
      <c r="H52" s="4">
        <f t="shared" si="11"/>
        <v>-10966</v>
      </c>
      <c r="I52" s="20" t="s">
        <v>107</v>
      </c>
      <c r="J52" s="21" t="s">
        <v>108</v>
      </c>
      <c r="K52" s="20">
        <v>-10966</v>
      </c>
      <c r="L52" s="20" t="s">
        <v>109</v>
      </c>
      <c r="M52" s="21" t="s">
        <v>85</v>
      </c>
      <c r="N52" s="21"/>
      <c r="O52" s="22" t="s">
        <v>86</v>
      </c>
      <c r="P52" s="22" t="s">
        <v>91</v>
      </c>
    </row>
    <row r="53" spans="1:16" ht="12.75" customHeight="1" thickBot="1" x14ac:dyDescent="0.25">
      <c r="A53" s="4" t="str">
        <f t="shared" si="6"/>
        <v> NNVS 1.5 </v>
      </c>
      <c r="B53" s="6" t="str">
        <f t="shared" si="7"/>
        <v>I</v>
      </c>
      <c r="C53" s="4">
        <f t="shared" si="8"/>
        <v>25415.316999999999</v>
      </c>
      <c r="D53" s="5" t="str">
        <f t="shared" si="9"/>
        <v>vis</v>
      </c>
      <c r="E53" s="19">
        <f>VLOOKUP(C53,Active!C$21:E$971,3,FALSE)</f>
        <v>-10946.009463293527</v>
      </c>
      <c r="F53" s="6" t="s">
        <v>79</v>
      </c>
      <c r="G53" s="5" t="str">
        <f t="shared" si="10"/>
        <v>25415.317</v>
      </c>
      <c r="H53" s="4">
        <f t="shared" si="11"/>
        <v>-10946</v>
      </c>
      <c r="I53" s="20" t="s">
        <v>110</v>
      </c>
      <c r="J53" s="21" t="s">
        <v>111</v>
      </c>
      <c r="K53" s="20">
        <v>-10946</v>
      </c>
      <c r="L53" s="20" t="s">
        <v>112</v>
      </c>
      <c r="M53" s="21" t="s">
        <v>85</v>
      </c>
      <c r="N53" s="21"/>
      <c r="O53" s="22" t="s">
        <v>113</v>
      </c>
      <c r="P53" s="22" t="s">
        <v>114</v>
      </c>
    </row>
    <row r="54" spans="1:16" ht="12.75" customHeight="1" thickBot="1" x14ac:dyDescent="0.25">
      <c r="A54" s="4" t="str">
        <f t="shared" si="6"/>
        <v> AAB 2.29 </v>
      </c>
      <c r="B54" s="6" t="str">
        <f t="shared" si="7"/>
        <v>I</v>
      </c>
      <c r="C54" s="4">
        <f t="shared" si="8"/>
        <v>25737.429</v>
      </c>
      <c r="D54" s="5" t="str">
        <f t="shared" si="9"/>
        <v>vis</v>
      </c>
      <c r="E54" s="19">
        <f>VLOOKUP(C54,Active!C$21:E$971,3,FALSE)</f>
        <v>-10722.009198480973</v>
      </c>
      <c r="F54" s="6" t="s">
        <v>79</v>
      </c>
      <c r="G54" s="5" t="str">
        <f t="shared" si="10"/>
        <v>25737.429</v>
      </c>
      <c r="H54" s="4">
        <f t="shared" si="11"/>
        <v>-10722</v>
      </c>
      <c r="I54" s="20" t="s">
        <v>115</v>
      </c>
      <c r="J54" s="21" t="s">
        <v>116</v>
      </c>
      <c r="K54" s="20">
        <v>-10722</v>
      </c>
      <c r="L54" s="20" t="s">
        <v>117</v>
      </c>
      <c r="M54" s="21" t="s">
        <v>85</v>
      </c>
      <c r="N54" s="21"/>
      <c r="O54" s="22" t="s">
        <v>86</v>
      </c>
      <c r="P54" s="22" t="s">
        <v>91</v>
      </c>
    </row>
    <row r="55" spans="1:16" ht="12.75" customHeight="1" thickBot="1" x14ac:dyDescent="0.25">
      <c r="A55" s="4" t="str">
        <f t="shared" si="6"/>
        <v> AAB 2.29 </v>
      </c>
      <c r="B55" s="6" t="str">
        <f t="shared" si="7"/>
        <v>I</v>
      </c>
      <c r="C55" s="4">
        <f t="shared" si="8"/>
        <v>25796.393</v>
      </c>
      <c r="D55" s="5" t="str">
        <f t="shared" si="9"/>
        <v>vis</v>
      </c>
      <c r="E55" s="19">
        <f>VLOOKUP(C55,Active!C$21:E$971,3,FALSE)</f>
        <v>-10681.004977544135</v>
      </c>
      <c r="F55" s="6" t="s">
        <v>79</v>
      </c>
      <c r="G55" s="5" t="str">
        <f t="shared" si="10"/>
        <v>25796.393</v>
      </c>
      <c r="H55" s="4">
        <f t="shared" si="11"/>
        <v>-10681</v>
      </c>
      <c r="I55" s="20" t="s">
        <v>118</v>
      </c>
      <c r="J55" s="21" t="s">
        <v>119</v>
      </c>
      <c r="K55" s="20">
        <v>-10681</v>
      </c>
      <c r="L55" s="20" t="s">
        <v>120</v>
      </c>
      <c r="M55" s="21" t="s">
        <v>85</v>
      </c>
      <c r="N55" s="21"/>
      <c r="O55" s="22" t="s">
        <v>86</v>
      </c>
      <c r="P55" s="22" t="s">
        <v>91</v>
      </c>
    </row>
    <row r="56" spans="1:16" ht="12.75" customHeight="1" thickBot="1" x14ac:dyDescent="0.25">
      <c r="A56" s="4" t="str">
        <f t="shared" si="6"/>
        <v> AAB 2.29 </v>
      </c>
      <c r="B56" s="6" t="str">
        <f t="shared" si="7"/>
        <v>I</v>
      </c>
      <c r="C56" s="4">
        <f t="shared" si="8"/>
        <v>26121.399000000001</v>
      </c>
      <c r="D56" s="5" t="str">
        <f t="shared" si="9"/>
        <v>vis</v>
      </c>
      <c r="E56" s="19">
        <f>VLOOKUP(C56,Active!C$21:E$971,3,FALSE)</f>
        <v>-10454.992192967127</v>
      </c>
      <c r="F56" s="6" t="s">
        <v>79</v>
      </c>
      <c r="G56" s="5" t="str">
        <f t="shared" si="10"/>
        <v>26121.399</v>
      </c>
      <c r="H56" s="4">
        <f t="shared" si="11"/>
        <v>-10455</v>
      </c>
      <c r="I56" s="20" t="s">
        <v>121</v>
      </c>
      <c r="J56" s="21" t="s">
        <v>122</v>
      </c>
      <c r="K56" s="20">
        <v>-10455</v>
      </c>
      <c r="L56" s="20" t="s">
        <v>123</v>
      </c>
      <c r="M56" s="21" t="s">
        <v>85</v>
      </c>
      <c r="N56" s="21"/>
      <c r="O56" s="22" t="s">
        <v>86</v>
      </c>
      <c r="P56" s="22" t="s">
        <v>91</v>
      </c>
    </row>
    <row r="57" spans="1:16" ht="12.75" customHeight="1" thickBot="1" x14ac:dyDescent="0.25">
      <c r="A57" s="4" t="str">
        <f t="shared" si="6"/>
        <v> AAB 2.29 </v>
      </c>
      <c r="B57" s="6" t="str">
        <f t="shared" si="7"/>
        <v>I</v>
      </c>
      <c r="C57" s="4">
        <f t="shared" si="8"/>
        <v>26469.392</v>
      </c>
      <c r="D57" s="5" t="str">
        <f t="shared" si="9"/>
        <v>vis</v>
      </c>
      <c r="E57" s="19">
        <f>VLOOKUP(C57,Active!C$21:E$971,3,FALSE)</f>
        <v>-10212.993993108339</v>
      </c>
      <c r="F57" s="6" t="s">
        <v>79</v>
      </c>
      <c r="G57" s="5" t="str">
        <f t="shared" si="10"/>
        <v>26469.392</v>
      </c>
      <c r="H57" s="4">
        <f t="shared" si="11"/>
        <v>-10213</v>
      </c>
      <c r="I57" s="20" t="s">
        <v>124</v>
      </c>
      <c r="J57" s="21" t="s">
        <v>125</v>
      </c>
      <c r="K57" s="20">
        <v>-10213</v>
      </c>
      <c r="L57" s="20" t="s">
        <v>126</v>
      </c>
      <c r="M57" s="21" t="s">
        <v>85</v>
      </c>
      <c r="N57" s="21"/>
      <c r="O57" s="22" t="s">
        <v>86</v>
      </c>
      <c r="P57" s="22" t="s">
        <v>91</v>
      </c>
    </row>
    <row r="58" spans="1:16" ht="12.75" customHeight="1" thickBot="1" x14ac:dyDescent="0.25">
      <c r="A58" s="4" t="str">
        <f t="shared" si="6"/>
        <v> CTAD 1 </v>
      </c>
      <c r="B58" s="6" t="str">
        <f t="shared" si="7"/>
        <v>II</v>
      </c>
      <c r="C58" s="4">
        <f t="shared" si="8"/>
        <v>27573.285</v>
      </c>
      <c r="D58" s="5" t="str">
        <f t="shared" si="9"/>
        <v>vis</v>
      </c>
      <c r="E58" s="19">
        <f>VLOOKUP(C58,Active!C$21:E$971,3,FALSE)</f>
        <v>-9445.3345320366534</v>
      </c>
      <c r="F58" s="6" t="s">
        <v>79</v>
      </c>
      <c r="G58" s="5" t="str">
        <f t="shared" si="10"/>
        <v>27573.285</v>
      </c>
      <c r="H58" s="4">
        <f t="shared" si="11"/>
        <v>-9445.5</v>
      </c>
      <c r="I58" s="20" t="s">
        <v>127</v>
      </c>
      <c r="J58" s="21" t="s">
        <v>128</v>
      </c>
      <c r="K58" s="20">
        <v>-9445.5</v>
      </c>
      <c r="L58" s="20" t="s">
        <v>129</v>
      </c>
      <c r="M58" s="21" t="s">
        <v>85</v>
      </c>
      <c r="N58" s="21"/>
      <c r="O58" s="22" t="s">
        <v>130</v>
      </c>
      <c r="P58" s="22" t="s">
        <v>131</v>
      </c>
    </row>
    <row r="59" spans="1:16" ht="12.75" customHeight="1" thickBot="1" x14ac:dyDescent="0.25">
      <c r="A59" s="4" t="str">
        <f t="shared" si="6"/>
        <v> IODE 4.2.194 </v>
      </c>
      <c r="B59" s="6" t="str">
        <f t="shared" si="7"/>
        <v>I</v>
      </c>
      <c r="C59" s="4">
        <f t="shared" si="8"/>
        <v>30914.231</v>
      </c>
      <c r="D59" s="5" t="str">
        <f t="shared" si="9"/>
        <v>vis</v>
      </c>
      <c r="E59" s="19">
        <f>VLOOKUP(C59,Active!C$21:E$971,3,FALSE)</f>
        <v>-7122.0035517427268</v>
      </c>
      <c r="F59" s="6" t="s">
        <v>79</v>
      </c>
      <c r="G59" s="5" t="str">
        <f t="shared" si="10"/>
        <v>30914.231</v>
      </c>
      <c r="H59" s="4">
        <f t="shared" si="11"/>
        <v>-7122</v>
      </c>
      <c r="I59" s="20" t="s">
        <v>132</v>
      </c>
      <c r="J59" s="21" t="s">
        <v>133</v>
      </c>
      <c r="K59" s="20">
        <v>-7122</v>
      </c>
      <c r="L59" s="20" t="s">
        <v>134</v>
      </c>
      <c r="M59" s="21" t="s">
        <v>85</v>
      </c>
      <c r="N59" s="21"/>
      <c r="O59" s="22" t="s">
        <v>130</v>
      </c>
      <c r="P59" s="22" t="s">
        <v>135</v>
      </c>
    </row>
    <row r="60" spans="1:16" ht="12.75" customHeight="1" thickBot="1" x14ac:dyDescent="0.25">
      <c r="A60" s="4" t="str">
        <f t="shared" si="6"/>
        <v> PZ 12.271 </v>
      </c>
      <c r="B60" s="6" t="str">
        <f t="shared" si="7"/>
        <v>I</v>
      </c>
      <c r="C60" s="4">
        <f t="shared" si="8"/>
        <v>32355.076000000001</v>
      </c>
      <c r="D60" s="5" t="str">
        <f t="shared" si="9"/>
        <v>vis</v>
      </c>
      <c r="E60" s="19">
        <f>VLOOKUP(C60,Active!C$21:E$971,3,FALSE)</f>
        <v>-6120.0239249239739</v>
      </c>
      <c r="F60" s="6" t="s">
        <v>79</v>
      </c>
      <c r="G60" s="5" t="str">
        <f t="shared" si="10"/>
        <v>32355.076</v>
      </c>
      <c r="H60" s="4">
        <f t="shared" si="11"/>
        <v>-6120</v>
      </c>
      <c r="I60" s="20" t="s">
        <v>136</v>
      </c>
      <c r="J60" s="21" t="s">
        <v>137</v>
      </c>
      <c r="K60" s="20">
        <v>-6120</v>
      </c>
      <c r="L60" s="20" t="s">
        <v>138</v>
      </c>
      <c r="M60" s="21" t="s">
        <v>85</v>
      </c>
      <c r="N60" s="21"/>
      <c r="O60" s="22" t="s">
        <v>139</v>
      </c>
      <c r="P60" s="22" t="s">
        <v>140</v>
      </c>
    </row>
    <row r="61" spans="1:16" ht="12.75" customHeight="1" thickBot="1" x14ac:dyDescent="0.25">
      <c r="A61" s="4" t="str">
        <f t="shared" si="6"/>
        <v> AJ 66.35 </v>
      </c>
      <c r="B61" s="6" t="str">
        <f t="shared" si="7"/>
        <v>I</v>
      </c>
      <c r="C61" s="4">
        <f t="shared" si="8"/>
        <v>34868.71</v>
      </c>
      <c r="D61" s="5" t="str">
        <f t="shared" si="9"/>
        <v>vis</v>
      </c>
      <c r="E61" s="19">
        <f>VLOOKUP(C61,Active!C$21:E$971,3,FALSE)</f>
        <v>-4372.0149043291667</v>
      </c>
      <c r="F61" s="6" t="s">
        <v>79</v>
      </c>
      <c r="G61" s="5" t="str">
        <f t="shared" si="10"/>
        <v>34868.71</v>
      </c>
      <c r="H61" s="4">
        <f t="shared" si="11"/>
        <v>-4372</v>
      </c>
      <c r="I61" s="20" t="s">
        <v>147</v>
      </c>
      <c r="J61" s="21" t="s">
        <v>148</v>
      </c>
      <c r="K61" s="20">
        <v>-4372</v>
      </c>
      <c r="L61" s="20" t="s">
        <v>149</v>
      </c>
      <c r="M61" s="21" t="s">
        <v>81</v>
      </c>
      <c r="N61" s="21"/>
      <c r="O61" s="22" t="s">
        <v>150</v>
      </c>
      <c r="P61" s="22" t="s">
        <v>151</v>
      </c>
    </row>
    <row r="62" spans="1:16" ht="12.75" customHeight="1" thickBot="1" x14ac:dyDescent="0.25">
      <c r="A62" s="4" t="str">
        <f t="shared" si="6"/>
        <v> AOEB 11 </v>
      </c>
      <c r="B62" s="6" t="str">
        <f t="shared" si="7"/>
        <v>I</v>
      </c>
      <c r="C62" s="4">
        <f t="shared" si="8"/>
        <v>51720.693099999997</v>
      </c>
      <c r="D62" s="5" t="str">
        <f t="shared" si="9"/>
        <v>vis</v>
      </c>
      <c r="E62" s="19">
        <f>VLOOKUP(C62,Active!C$21:E$971,3,FALSE)</f>
        <v>7347.0414394787485</v>
      </c>
      <c r="F62" s="6" t="s">
        <v>79</v>
      </c>
      <c r="G62" s="5" t="str">
        <f t="shared" si="10"/>
        <v>51720.6931</v>
      </c>
      <c r="H62" s="4">
        <f t="shared" si="11"/>
        <v>7347</v>
      </c>
      <c r="I62" s="20" t="s">
        <v>237</v>
      </c>
      <c r="J62" s="21" t="s">
        <v>238</v>
      </c>
      <c r="K62" s="20">
        <v>7347</v>
      </c>
      <c r="L62" s="20" t="s">
        <v>239</v>
      </c>
      <c r="M62" s="21" t="s">
        <v>231</v>
      </c>
      <c r="N62" s="21" t="s">
        <v>240</v>
      </c>
      <c r="O62" s="22" t="s">
        <v>241</v>
      </c>
      <c r="P62" s="22" t="s">
        <v>242</v>
      </c>
    </row>
    <row r="63" spans="1:16" ht="12.75" customHeight="1" thickBot="1" x14ac:dyDescent="0.25">
      <c r="A63" s="4" t="str">
        <f t="shared" si="6"/>
        <v> AOEB 11 </v>
      </c>
      <c r="B63" s="6" t="str">
        <f t="shared" si="7"/>
        <v>I</v>
      </c>
      <c r="C63" s="4">
        <f t="shared" si="8"/>
        <v>52042.807999999997</v>
      </c>
      <c r="D63" s="5" t="str">
        <f t="shared" si="9"/>
        <v>vis</v>
      </c>
      <c r="E63" s="19">
        <f>VLOOKUP(C63,Active!C$21:E$971,3,FALSE)</f>
        <v>7571.0437209835318</v>
      </c>
      <c r="F63" s="6" t="s">
        <v>79</v>
      </c>
      <c r="G63" s="5" t="str">
        <f t="shared" si="10"/>
        <v>52042.808</v>
      </c>
      <c r="H63" s="4">
        <f t="shared" si="11"/>
        <v>7571</v>
      </c>
      <c r="I63" s="20" t="s">
        <v>243</v>
      </c>
      <c r="J63" s="21" t="s">
        <v>244</v>
      </c>
      <c r="K63" s="20">
        <v>7571</v>
      </c>
      <c r="L63" s="20" t="s">
        <v>245</v>
      </c>
      <c r="M63" s="21" t="s">
        <v>85</v>
      </c>
      <c r="N63" s="21"/>
      <c r="O63" s="22" t="s">
        <v>201</v>
      </c>
      <c r="P63" s="22" t="s">
        <v>242</v>
      </c>
    </row>
    <row r="64" spans="1:16" ht="12.75" customHeight="1" thickBot="1" x14ac:dyDescent="0.25">
      <c r="A64" s="4" t="str">
        <f t="shared" si="6"/>
        <v> AOEB 11 </v>
      </c>
      <c r="B64" s="6" t="str">
        <f t="shared" si="7"/>
        <v>I</v>
      </c>
      <c r="C64" s="4">
        <f t="shared" si="8"/>
        <v>52042.808900000004</v>
      </c>
      <c r="D64" s="5" t="str">
        <f t="shared" si="9"/>
        <v>vis</v>
      </c>
      <c r="E64" s="19">
        <f>VLOOKUP(C64,Active!C$21:E$971,3,FALSE)</f>
        <v>7571.0443468535395</v>
      </c>
      <c r="F64" s="6" t="s">
        <v>79</v>
      </c>
      <c r="G64" s="5" t="str">
        <f t="shared" si="10"/>
        <v>52042.8089</v>
      </c>
      <c r="H64" s="4">
        <f t="shared" si="11"/>
        <v>7571</v>
      </c>
      <c r="I64" s="20" t="s">
        <v>246</v>
      </c>
      <c r="J64" s="21" t="s">
        <v>247</v>
      </c>
      <c r="K64" s="20">
        <v>7571</v>
      </c>
      <c r="L64" s="20" t="s">
        <v>248</v>
      </c>
      <c r="M64" s="21" t="s">
        <v>231</v>
      </c>
      <c r="N64" s="21" t="s">
        <v>240</v>
      </c>
      <c r="O64" s="22" t="s">
        <v>190</v>
      </c>
      <c r="P64" s="22" t="s">
        <v>242</v>
      </c>
    </row>
    <row r="65" spans="1:16" ht="12.75" customHeight="1" thickBot="1" x14ac:dyDescent="0.25">
      <c r="A65" s="4" t="str">
        <f t="shared" si="6"/>
        <v> AOEB 11 </v>
      </c>
      <c r="B65" s="6" t="str">
        <f t="shared" si="7"/>
        <v>I</v>
      </c>
      <c r="C65" s="4">
        <f t="shared" si="8"/>
        <v>52045.684399999998</v>
      </c>
      <c r="D65" s="5" t="str">
        <f t="shared" si="9"/>
        <v>vis</v>
      </c>
      <c r="E65" s="19">
        <f>VLOOKUP(C65,Active!C$21:E$971,3,FALSE)</f>
        <v>7573.0440015123759</v>
      </c>
      <c r="F65" s="6" t="s">
        <v>79</v>
      </c>
      <c r="G65" s="5" t="str">
        <f t="shared" si="10"/>
        <v>52045.6844</v>
      </c>
      <c r="H65" s="4">
        <f t="shared" si="11"/>
        <v>7573</v>
      </c>
      <c r="I65" s="20" t="s">
        <v>249</v>
      </c>
      <c r="J65" s="21" t="s">
        <v>250</v>
      </c>
      <c r="K65" s="20">
        <v>7573</v>
      </c>
      <c r="L65" s="20" t="s">
        <v>251</v>
      </c>
      <c r="M65" s="21" t="s">
        <v>231</v>
      </c>
      <c r="N65" s="21" t="s">
        <v>240</v>
      </c>
      <c r="O65" s="22" t="s">
        <v>241</v>
      </c>
      <c r="P65" s="22" t="s">
        <v>242</v>
      </c>
    </row>
    <row r="66" spans="1:16" ht="12.75" customHeight="1" thickBot="1" x14ac:dyDescent="0.25">
      <c r="A66" s="4" t="str">
        <f t="shared" si="6"/>
        <v> AOEB 11 </v>
      </c>
      <c r="B66" s="6" t="str">
        <f t="shared" si="7"/>
        <v>I</v>
      </c>
      <c r="C66" s="4">
        <f t="shared" si="8"/>
        <v>52426.762300000002</v>
      </c>
      <c r="D66" s="5" t="str">
        <f t="shared" si="9"/>
        <v>vis</v>
      </c>
      <c r="E66" s="19">
        <f>VLOOKUP(C66,Active!C$21:E$971,3,FALSE)</f>
        <v>7838.0498085428881</v>
      </c>
      <c r="F66" s="6" t="s">
        <v>79</v>
      </c>
      <c r="G66" s="5" t="str">
        <f t="shared" si="10"/>
        <v>52426.7623</v>
      </c>
      <c r="H66" s="4">
        <f t="shared" si="11"/>
        <v>7838</v>
      </c>
      <c r="I66" s="20" t="s">
        <v>252</v>
      </c>
      <c r="J66" s="21" t="s">
        <v>253</v>
      </c>
      <c r="K66" s="20">
        <v>7838</v>
      </c>
      <c r="L66" s="20" t="s">
        <v>254</v>
      </c>
      <c r="M66" s="21" t="s">
        <v>231</v>
      </c>
      <c r="N66" s="21" t="s">
        <v>240</v>
      </c>
      <c r="O66" s="22" t="s">
        <v>190</v>
      </c>
      <c r="P66" s="22" t="s">
        <v>242</v>
      </c>
    </row>
    <row r="67" spans="1:16" ht="12.75" customHeight="1" thickBot="1" x14ac:dyDescent="0.25">
      <c r="A67" s="4" t="str">
        <f t="shared" si="6"/>
        <v> AOEB 11 </v>
      </c>
      <c r="B67" s="6" t="str">
        <f t="shared" si="7"/>
        <v>I</v>
      </c>
      <c r="C67" s="4">
        <f t="shared" si="8"/>
        <v>52810.714699999997</v>
      </c>
      <c r="D67" s="5" t="str">
        <f t="shared" si="9"/>
        <v>vis</v>
      </c>
      <c r="E67" s="19">
        <f>VLOOKUP(C67,Active!C$21:E$971,3,FALSE)</f>
        <v>8105.0545748211198</v>
      </c>
      <c r="F67" s="6" t="s">
        <v>79</v>
      </c>
      <c r="G67" s="5" t="str">
        <f t="shared" si="10"/>
        <v>52810.7147</v>
      </c>
      <c r="H67" s="4">
        <f t="shared" si="11"/>
        <v>8105</v>
      </c>
      <c r="I67" s="20" t="s">
        <v>255</v>
      </c>
      <c r="J67" s="21" t="s">
        <v>256</v>
      </c>
      <c r="K67" s="20">
        <v>8105</v>
      </c>
      <c r="L67" s="20" t="s">
        <v>257</v>
      </c>
      <c r="M67" s="21" t="s">
        <v>231</v>
      </c>
      <c r="N67" s="21" t="s">
        <v>240</v>
      </c>
      <c r="O67" s="22" t="s">
        <v>190</v>
      </c>
      <c r="P67" s="22" t="s">
        <v>242</v>
      </c>
    </row>
    <row r="68" spans="1:16" ht="12.75" customHeight="1" thickBot="1" x14ac:dyDescent="0.25">
      <c r="A68" s="4" t="str">
        <f t="shared" si="6"/>
        <v> AOEB 11 </v>
      </c>
      <c r="B68" s="6" t="str">
        <f t="shared" si="7"/>
        <v>I</v>
      </c>
      <c r="C68" s="4">
        <f t="shared" si="8"/>
        <v>53529.73</v>
      </c>
      <c r="D68" s="5" t="str">
        <f t="shared" si="9"/>
        <v>vis</v>
      </c>
      <c r="E68" s="19">
        <f>VLOOKUP(C68,Active!C$21:E$971,3,FALSE)</f>
        <v>8605.0658057106175</v>
      </c>
      <c r="F68" s="6" t="s">
        <v>79</v>
      </c>
      <c r="G68" s="5" t="str">
        <f t="shared" si="10"/>
        <v>53529.730</v>
      </c>
      <c r="H68" s="4">
        <f t="shared" si="11"/>
        <v>8605</v>
      </c>
      <c r="I68" s="20" t="s">
        <v>268</v>
      </c>
      <c r="J68" s="21" t="s">
        <v>269</v>
      </c>
      <c r="K68" s="20">
        <v>8605</v>
      </c>
      <c r="L68" s="20" t="s">
        <v>270</v>
      </c>
      <c r="M68" s="21" t="s">
        <v>231</v>
      </c>
      <c r="N68" s="21" t="s">
        <v>240</v>
      </c>
      <c r="O68" s="22" t="s">
        <v>214</v>
      </c>
      <c r="P68" s="22" t="s">
        <v>242</v>
      </c>
    </row>
    <row r="69" spans="1:16" ht="12.75" customHeight="1" thickBot="1" x14ac:dyDescent="0.25">
      <c r="A69" s="4" t="str">
        <f t="shared" si="6"/>
        <v> AOEB 11 </v>
      </c>
      <c r="B69" s="6" t="str">
        <f t="shared" si="7"/>
        <v>I</v>
      </c>
      <c r="C69" s="4">
        <f t="shared" si="8"/>
        <v>53890.675999999999</v>
      </c>
      <c r="D69" s="5" t="str">
        <f t="shared" si="9"/>
        <v>vis</v>
      </c>
      <c r="E69" s="19">
        <f>VLOOKUP(C69,Active!C$21:E$971,3,FALSE)</f>
        <v>8856.0716657314515</v>
      </c>
      <c r="F69" s="6" t="s">
        <v>79</v>
      </c>
      <c r="G69" s="5" t="str">
        <f t="shared" si="10"/>
        <v>53890.676</v>
      </c>
      <c r="H69" s="4">
        <f t="shared" si="11"/>
        <v>8856</v>
      </c>
      <c r="I69" s="20" t="s">
        <v>271</v>
      </c>
      <c r="J69" s="21" t="s">
        <v>272</v>
      </c>
      <c r="K69" s="20">
        <v>8856</v>
      </c>
      <c r="L69" s="20" t="s">
        <v>273</v>
      </c>
      <c r="M69" s="21" t="s">
        <v>231</v>
      </c>
      <c r="N69" s="21" t="s">
        <v>240</v>
      </c>
      <c r="O69" s="22" t="s">
        <v>190</v>
      </c>
      <c r="P69" s="22" t="s">
        <v>242</v>
      </c>
    </row>
    <row r="70" spans="1:16" ht="12.75" customHeight="1" thickBot="1" x14ac:dyDescent="0.25">
      <c r="A70" s="4" t="str">
        <f t="shared" si="6"/>
        <v> AOEB 12 </v>
      </c>
      <c r="B70" s="6" t="str">
        <f t="shared" si="7"/>
        <v>I</v>
      </c>
      <c r="C70" s="4">
        <f t="shared" si="8"/>
        <v>54176.844799999999</v>
      </c>
      <c r="D70" s="5" t="str">
        <f t="shared" si="9"/>
        <v>vis</v>
      </c>
      <c r="E70" s="19">
        <f>VLOOKUP(C70,Active!C$21:E$971,3,FALSE)</f>
        <v>9055.0766297846076</v>
      </c>
      <c r="F70" s="6" t="s">
        <v>79</v>
      </c>
      <c r="G70" s="5" t="str">
        <f t="shared" si="10"/>
        <v>54176.8448</v>
      </c>
      <c r="H70" s="4">
        <f t="shared" si="11"/>
        <v>9055</v>
      </c>
      <c r="I70" s="20" t="s">
        <v>274</v>
      </c>
      <c r="J70" s="21" t="s">
        <v>275</v>
      </c>
      <c r="K70" s="20">
        <v>9055</v>
      </c>
      <c r="L70" s="20" t="s">
        <v>276</v>
      </c>
      <c r="M70" s="21" t="s">
        <v>231</v>
      </c>
      <c r="N70" s="21" t="s">
        <v>240</v>
      </c>
      <c r="O70" s="22" t="s">
        <v>190</v>
      </c>
      <c r="P70" s="22" t="s">
        <v>277</v>
      </c>
    </row>
    <row r="71" spans="1:16" ht="12.75" customHeight="1" thickBot="1" x14ac:dyDescent="0.25">
      <c r="A71" s="4" t="str">
        <f t="shared" si="6"/>
        <v> AOEB 12 </v>
      </c>
      <c r="B71" s="6" t="str">
        <f t="shared" si="7"/>
        <v>I</v>
      </c>
      <c r="C71" s="4">
        <f t="shared" si="8"/>
        <v>54212.8004</v>
      </c>
      <c r="D71" s="5" t="str">
        <f t="shared" si="9"/>
        <v>vis</v>
      </c>
      <c r="E71" s="19">
        <f>VLOOKUP(C71,Active!C$21:E$971,3,FALSE)</f>
        <v>9080.0805536418193</v>
      </c>
      <c r="F71" s="6" t="s">
        <v>79</v>
      </c>
      <c r="G71" s="5" t="str">
        <f t="shared" si="10"/>
        <v>54212.8004</v>
      </c>
      <c r="H71" s="4">
        <f t="shared" si="11"/>
        <v>9080</v>
      </c>
      <c r="I71" s="20" t="s">
        <v>278</v>
      </c>
      <c r="J71" s="21" t="s">
        <v>279</v>
      </c>
      <c r="K71" s="20">
        <v>9080</v>
      </c>
      <c r="L71" s="20" t="s">
        <v>280</v>
      </c>
      <c r="M71" s="21" t="s">
        <v>231</v>
      </c>
      <c r="N71" s="21" t="s">
        <v>240</v>
      </c>
      <c r="O71" s="22" t="s">
        <v>190</v>
      </c>
      <c r="P71" s="22" t="s">
        <v>277</v>
      </c>
    </row>
    <row r="72" spans="1:16" ht="12.75" customHeight="1" thickBot="1" x14ac:dyDescent="0.25">
      <c r="A72" s="4" t="str">
        <f t="shared" si="6"/>
        <v> AOEB 12 </v>
      </c>
      <c r="B72" s="6" t="str">
        <f t="shared" si="7"/>
        <v>I</v>
      </c>
      <c r="C72" s="4">
        <f t="shared" si="8"/>
        <v>54248.746800000001</v>
      </c>
      <c r="D72" s="5" t="str">
        <f t="shared" si="9"/>
        <v>vis</v>
      </c>
      <c r="E72" s="19">
        <f>VLOOKUP(C72,Active!C$21:E$971,3,FALSE)</f>
        <v>9105.0780797167827</v>
      </c>
      <c r="F72" s="6" t="s">
        <v>79</v>
      </c>
      <c r="G72" s="5" t="str">
        <f t="shared" si="10"/>
        <v>54248.7468</v>
      </c>
      <c r="H72" s="4">
        <f t="shared" si="11"/>
        <v>9105</v>
      </c>
      <c r="I72" s="20" t="s">
        <v>281</v>
      </c>
      <c r="J72" s="21" t="s">
        <v>282</v>
      </c>
      <c r="K72" s="20">
        <v>9105</v>
      </c>
      <c r="L72" s="20" t="s">
        <v>283</v>
      </c>
      <c r="M72" s="21" t="s">
        <v>231</v>
      </c>
      <c r="N72" s="21" t="s">
        <v>240</v>
      </c>
      <c r="O72" s="22" t="s">
        <v>190</v>
      </c>
      <c r="P72" s="22" t="s">
        <v>277</v>
      </c>
    </row>
    <row r="73" spans="1:16" ht="12.75" customHeight="1" thickBot="1" x14ac:dyDescent="0.25">
      <c r="A73" s="4" t="str">
        <f t="shared" si="6"/>
        <v> AOEB 12 </v>
      </c>
      <c r="B73" s="6" t="str">
        <f t="shared" si="7"/>
        <v>I</v>
      </c>
      <c r="C73" s="4">
        <f t="shared" si="8"/>
        <v>54258.814400000003</v>
      </c>
      <c r="D73" s="5" t="str">
        <f t="shared" si="9"/>
        <v>vis</v>
      </c>
      <c r="E73" s="19">
        <f>VLOOKUP(C73,Active!C$21:E$971,3,FALSE)</f>
        <v>9112.0792006499578</v>
      </c>
      <c r="F73" s="6" t="s">
        <v>79</v>
      </c>
      <c r="G73" s="5" t="str">
        <f t="shared" si="10"/>
        <v>54258.8144</v>
      </c>
      <c r="H73" s="4">
        <f t="shared" si="11"/>
        <v>9112</v>
      </c>
      <c r="I73" s="20" t="s">
        <v>284</v>
      </c>
      <c r="J73" s="21" t="s">
        <v>285</v>
      </c>
      <c r="K73" s="20">
        <v>9112</v>
      </c>
      <c r="L73" s="20" t="s">
        <v>286</v>
      </c>
      <c r="M73" s="21" t="s">
        <v>231</v>
      </c>
      <c r="N73" s="21" t="s">
        <v>240</v>
      </c>
      <c r="O73" s="22" t="s">
        <v>287</v>
      </c>
      <c r="P73" s="22" t="s">
        <v>277</v>
      </c>
    </row>
    <row r="74" spans="1:16" x14ac:dyDescent="0.2">
      <c r="B74" s="6"/>
      <c r="E74" s="19"/>
      <c r="F74" s="6"/>
    </row>
    <row r="75" spans="1:16" x14ac:dyDescent="0.2">
      <c r="B75" s="6"/>
      <c r="E75" s="19"/>
      <c r="F75" s="6"/>
    </row>
    <row r="76" spans="1:16" x14ac:dyDescent="0.2">
      <c r="B76" s="6"/>
      <c r="E76" s="19"/>
      <c r="F76" s="6"/>
    </row>
    <row r="77" spans="1:16" x14ac:dyDescent="0.2">
      <c r="B77" s="6"/>
      <c r="E77" s="19"/>
      <c r="F77" s="6"/>
    </row>
    <row r="78" spans="1:16" x14ac:dyDescent="0.2">
      <c r="B78" s="6"/>
      <c r="E78" s="19"/>
      <c r="F78" s="6"/>
    </row>
    <row r="79" spans="1:16" x14ac:dyDescent="0.2">
      <c r="B79" s="6"/>
      <c r="E79" s="19"/>
      <c r="F79" s="6"/>
    </row>
    <row r="80" spans="1:16" x14ac:dyDescent="0.2">
      <c r="B80" s="6"/>
      <c r="E80" s="19"/>
      <c r="F80" s="6"/>
    </row>
    <row r="81" spans="2:6" x14ac:dyDescent="0.2">
      <c r="B81" s="6"/>
      <c r="E81" s="19"/>
      <c r="F81" s="6"/>
    </row>
    <row r="82" spans="2:6" x14ac:dyDescent="0.2">
      <c r="B82" s="6"/>
      <c r="E82" s="19"/>
      <c r="F82" s="6"/>
    </row>
    <row r="83" spans="2:6" x14ac:dyDescent="0.2">
      <c r="B83" s="6"/>
      <c r="E83" s="19"/>
      <c r="F83" s="6"/>
    </row>
    <row r="84" spans="2:6" x14ac:dyDescent="0.2">
      <c r="B84" s="6"/>
      <c r="E84" s="19"/>
      <c r="F84" s="6"/>
    </row>
    <row r="85" spans="2:6" x14ac:dyDescent="0.2">
      <c r="B85" s="6"/>
      <c r="E85" s="19"/>
      <c r="F85" s="6"/>
    </row>
    <row r="86" spans="2:6" x14ac:dyDescent="0.2">
      <c r="B86" s="6"/>
      <c r="E86" s="19"/>
      <c r="F86" s="6"/>
    </row>
    <row r="87" spans="2:6" x14ac:dyDescent="0.2">
      <c r="B87" s="6"/>
      <c r="E87" s="19"/>
      <c r="F87" s="6"/>
    </row>
    <row r="88" spans="2:6" x14ac:dyDescent="0.2">
      <c r="B88" s="6"/>
      <c r="E88" s="19"/>
      <c r="F88" s="6"/>
    </row>
    <row r="89" spans="2:6" x14ac:dyDescent="0.2">
      <c r="B89" s="6"/>
      <c r="E89" s="19"/>
      <c r="F89" s="6"/>
    </row>
    <row r="90" spans="2:6" x14ac:dyDescent="0.2">
      <c r="B90" s="6"/>
      <c r="E90" s="19"/>
      <c r="F90" s="6"/>
    </row>
    <row r="91" spans="2:6" x14ac:dyDescent="0.2">
      <c r="B91" s="6"/>
      <c r="E91" s="19"/>
      <c r="F91" s="6"/>
    </row>
    <row r="92" spans="2:6" x14ac:dyDescent="0.2">
      <c r="B92" s="6"/>
      <c r="E92" s="19"/>
      <c r="F92" s="6"/>
    </row>
    <row r="93" spans="2:6" x14ac:dyDescent="0.2">
      <c r="B93" s="6"/>
      <c r="E93" s="19"/>
      <c r="F93" s="6"/>
    </row>
    <row r="94" spans="2:6" x14ac:dyDescent="0.2">
      <c r="B94" s="6"/>
      <c r="E94" s="19"/>
      <c r="F94" s="6"/>
    </row>
    <row r="95" spans="2:6" x14ac:dyDescent="0.2">
      <c r="B95" s="6"/>
      <c r="E95" s="19"/>
      <c r="F95" s="6"/>
    </row>
    <row r="96" spans="2:6" x14ac:dyDescent="0.2">
      <c r="B96" s="6"/>
      <c r="E96" s="19"/>
      <c r="F96" s="6"/>
    </row>
    <row r="97" spans="2:6" x14ac:dyDescent="0.2">
      <c r="B97" s="6"/>
      <c r="E97" s="19"/>
      <c r="F97" s="6"/>
    </row>
    <row r="98" spans="2:6" x14ac:dyDescent="0.2">
      <c r="B98" s="6"/>
      <c r="E98" s="19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</sheetData>
  <phoneticPr fontId="8" type="noConversion"/>
  <hyperlinks>
    <hyperlink ref="P12" r:id="rId1" display="http://www.konkoly.hu/cgi-bin/IBVS?111" xr:uid="{00000000-0004-0000-0100-000000000000}"/>
    <hyperlink ref="P13" r:id="rId2" display="http://www.konkoly.hu/cgi-bin/IBVS?111" xr:uid="{00000000-0004-0000-0100-000001000000}"/>
    <hyperlink ref="P14" r:id="rId3" display="http://www.konkoly.hu/cgi-bin/IBVS?154" xr:uid="{00000000-0004-0000-0100-000002000000}"/>
    <hyperlink ref="P15" r:id="rId4" display="http://www.konkoly.hu/cgi-bin/IBVS?154" xr:uid="{00000000-0004-0000-0100-000003000000}"/>
    <hyperlink ref="P37" r:id="rId5" display="http://www.konkoly.hu/cgi-bin/IBVS?5741" xr:uid="{00000000-0004-0000-0100-000004000000}"/>
    <hyperlink ref="P38" r:id="rId6" display="http://www.konkoly.hu/cgi-bin/IBVS?5690" xr:uid="{00000000-0004-0000-0100-000005000000}"/>
    <hyperlink ref="P39" r:id="rId7" display="http://www.aavso.org/sites/default/files/jaavso/v36n2/186.pdf" xr:uid="{00000000-0004-0000-0100-000006000000}"/>
    <hyperlink ref="P40" r:id="rId8" display="http://www.aavso.org/sites/default/files/jaavso/v36n2/186.pdf" xr:uid="{00000000-0004-0000-0100-000007000000}"/>
    <hyperlink ref="P42" r:id="rId9" display="http://www.konkoly.hu/cgi-bin/IBVS?5992" xr:uid="{00000000-0004-0000-0100-000008000000}"/>
    <hyperlink ref="P43" r:id="rId10" display="http://www.konkoly.hu/cgi-bin/IBVS?6029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2024-02-18T04:46:03Z</dcterms:modified>
</cp:coreProperties>
</file>