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44742F-995A-47F9-9136-02FDF0768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Graphs 1" sheetId="17" r:id="rId2"/>
    <sheet name="Active 2" sheetId="13" r:id="rId3"/>
    <sheet name="Graphs 2" sheetId="18" r:id="rId4"/>
    <sheet name="Active 6" sheetId="16" r:id="rId5"/>
    <sheet name="Q_fit (3)" sheetId="8" r:id="rId6"/>
    <sheet name="Q_fit" sheetId="2" r:id="rId7"/>
    <sheet name="A (3)" sheetId="3" r:id="rId8"/>
    <sheet name="A (5)" sheetId="15" r:id="rId9"/>
    <sheet name="A (4)" sheetId="1" r:id="rId10"/>
    <sheet name="A (old2)" sheetId="12" r:id="rId11"/>
    <sheet name="Q_fit (old)" sheetId="7" r:id="rId12"/>
    <sheet name="BAV" sheetId="14" r:id="rId13"/>
  </sheets>
  <definedNames>
    <definedName name="solver_adj" localSheetId="7" hidden="1">'A (3)'!$C$15:$C$20</definedName>
    <definedName name="solver_adj" localSheetId="9" hidden="1">'A (4)'!$E$11:$E$13</definedName>
    <definedName name="solver_adj" localSheetId="8" hidden="1">'A (5)'!$C$15:$C$20</definedName>
    <definedName name="solver_adj" localSheetId="10" hidden="1">'A (old2)'!$E$11:$E$13</definedName>
    <definedName name="solver_adj" localSheetId="0" hidden="1">'Active 1'!$E$11:$E$13</definedName>
    <definedName name="solver_adj" localSheetId="2" hidden="1">'Active 2'!$E$11:$E$13</definedName>
    <definedName name="solver_adj" localSheetId="4" hidden="1">'Active 6'!$E$11:$E$13</definedName>
    <definedName name="solver_cvg" localSheetId="7" hidden="1">0.0001</definedName>
    <definedName name="solver_cvg" localSheetId="9" hidden="1">0.0001</definedName>
    <definedName name="solver_cvg" localSheetId="8" hidden="1">0.0001</definedName>
    <definedName name="solver_cvg" localSheetId="10" hidden="1">0.0001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drv" localSheetId="7" hidden="1">1</definedName>
    <definedName name="solver_drv" localSheetId="9" hidden="1">1</definedName>
    <definedName name="solver_drv" localSheetId="8" hidden="1">1</definedName>
    <definedName name="solver_drv" localSheetId="10" hidden="1">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st" localSheetId="7" hidden="1">1</definedName>
    <definedName name="solver_est" localSheetId="9" hidden="1">1</definedName>
    <definedName name="solver_est" localSheetId="8" hidden="1">1</definedName>
    <definedName name="solver_est" localSheetId="10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7" hidden="1">100</definedName>
    <definedName name="solver_itr" localSheetId="9" hidden="1">100</definedName>
    <definedName name="solver_itr" localSheetId="8" hidden="1">100</definedName>
    <definedName name="solver_itr" localSheetId="10" hidden="1">100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lin" localSheetId="7" hidden="1">2</definedName>
    <definedName name="solver_lin" localSheetId="9" hidden="1">2</definedName>
    <definedName name="solver_lin" localSheetId="8" hidden="1">2</definedName>
    <definedName name="solver_lin" localSheetId="10" hidden="1">2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neg" localSheetId="7" hidden="1">2</definedName>
    <definedName name="solver_neg" localSheetId="9" hidden="1">2</definedName>
    <definedName name="solver_neg" localSheetId="8" hidden="1">2</definedName>
    <definedName name="solver_neg" localSheetId="10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um" localSheetId="7" hidden="1">0</definedName>
    <definedName name="solver_num" localSheetId="9" hidden="1">0</definedName>
    <definedName name="solver_num" localSheetId="8" hidden="1">0</definedName>
    <definedName name="solver_num" localSheetId="10" hidden="1">0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wt" localSheetId="7" hidden="1">1</definedName>
    <definedName name="solver_nwt" localSheetId="9" hidden="1">1</definedName>
    <definedName name="solver_nwt" localSheetId="8" hidden="1">1</definedName>
    <definedName name="solver_nwt" localSheetId="10" hidden="1">1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7" hidden="1">'A (3)'!$C$21</definedName>
    <definedName name="solver_opt" localSheetId="9" hidden="1">'A (4)'!$E$14</definedName>
    <definedName name="solver_opt" localSheetId="8" hidden="1">'A (5)'!$C$21</definedName>
    <definedName name="solver_opt" localSheetId="10" hidden="1">'A (old2)'!$E$14</definedName>
    <definedName name="solver_opt" localSheetId="0" hidden="1">'Active 1'!$E$14</definedName>
    <definedName name="solver_opt" localSheetId="2" hidden="1">'Active 2'!$E$14</definedName>
    <definedName name="solver_opt" localSheetId="4" hidden="1">'Active 6'!$E$14</definedName>
    <definedName name="solver_pre" localSheetId="7" hidden="1">0.000001</definedName>
    <definedName name="solver_pre" localSheetId="9" hidden="1">0.000001</definedName>
    <definedName name="solver_pre" localSheetId="8" hidden="1">0.000001</definedName>
    <definedName name="solver_pre" localSheetId="10" hidden="1">0.000001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scl" localSheetId="7" hidden="1">2</definedName>
    <definedName name="solver_scl" localSheetId="9" hidden="1">2</definedName>
    <definedName name="solver_scl" localSheetId="8" hidden="1">2</definedName>
    <definedName name="solver_scl" localSheetId="10" hidden="1">2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ho" localSheetId="7" hidden="1">2</definedName>
    <definedName name="solver_sho" localSheetId="9" hidden="1">2</definedName>
    <definedName name="solver_sho" localSheetId="8" hidden="1">2</definedName>
    <definedName name="solver_sho" localSheetId="10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tim" localSheetId="7" hidden="1">100</definedName>
    <definedName name="solver_tim" localSheetId="9" hidden="1">100</definedName>
    <definedName name="solver_tim" localSheetId="8" hidden="1">100</definedName>
    <definedName name="solver_tim" localSheetId="10" hidden="1">100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ol" localSheetId="7" hidden="1">0.05</definedName>
    <definedName name="solver_tol" localSheetId="9" hidden="1">0.05</definedName>
    <definedName name="solver_tol" localSheetId="8" hidden="1">0.05</definedName>
    <definedName name="solver_tol" localSheetId="10" hidden="1">0.05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yp" localSheetId="7" hidden="1">2</definedName>
    <definedName name="solver_typ" localSheetId="9" hidden="1">2</definedName>
    <definedName name="solver_typ" localSheetId="8" hidden="1">2</definedName>
    <definedName name="solver_typ" localSheetId="10" hidden="1">2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val" localSheetId="7" hidden="1">0</definedName>
    <definedName name="solver_val" localSheetId="9" hidden="1">0</definedName>
    <definedName name="solver_val" localSheetId="8" hidden="1">0</definedName>
    <definedName name="solver_val" localSheetId="10" hidden="1">0</definedName>
    <definedName name="solver_val" localSheetId="0" hidden="1">0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E130" i="5" l="1"/>
  <c r="F130" i="5" s="1"/>
  <c r="Q130" i="5"/>
  <c r="E131" i="5"/>
  <c r="F131" i="5" s="1"/>
  <c r="Q131" i="5"/>
  <c r="E132" i="5"/>
  <c r="F132" i="5" s="1"/>
  <c r="Q132" i="5"/>
  <c r="E133" i="5"/>
  <c r="F133" i="5" s="1"/>
  <c r="Q133" i="5"/>
  <c r="E125" i="13"/>
  <c r="F125" i="13" s="1"/>
  <c r="Q125" i="13"/>
  <c r="E126" i="13"/>
  <c r="F126" i="13" s="1"/>
  <c r="Q126" i="13"/>
  <c r="E127" i="13"/>
  <c r="F127" i="13" s="1"/>
  <c r="Q127" i="13"/>
  <c r="E128" i="13"/>
  <c r="F128" i="13" s="1"/>
  <c r="Q128" i="13"/>
  <c r="E130" i="16"/>
  <c r="F130" i="16" s="1"/>
  <c r="Q130" i="16"/>
  <c r="E131" i="16"/>
  <c r="F131" i="16" s="1"/>
  <c r="Q131" i="16"/>
  <c r="E132" i="16"/>
  <c r="F132" i="16"/>
  <c r="G132" i="16"/>
  <c r="K132" i="16" s="1"/>
  <c r="Q132" i="16"/>
  <c r="E133" i="16"/>
  <c r="F133" i="16" s="1"/>
  <c r="Q133" i="16"/>
  <c r="E124" i="16"/>
  <c r="F124" i="16" s="1"/>
  <c r="E125" i="16"/>
  <c r="F125" i="16"/>
  <c r="G125" i="16" s="1"/>
  <c r="E126" i="16"/>
  <c r="F126" i="16"/>
  <c r="G126" i="16" s="1"/>
  <c r="E127" i="16"/>
  <c r="F127" i="16" s="1"/>
  <c r="G127" i="16" s="1"/>
  <c r="K127" i="16" s="1"/>
  <c r="Q125" i="16"/>
  <c r="Q126" i="16"/>
  <c r="Q127" i="16"/>
  <c r="E128" i="16"/>
  <c r="F128" i="16" s="1"/>
  <c r="Q128" i="16"/>
  <c r="E129" i="16"/>
  <c r="F129" i="16"/>
  <c r="G129" i="16" s="1"/>
  <c r="K129" i="16" s="1"/>
  <c r="Q129" i="16"/>
  <c r="U95" i="5"/>
  <c r="U96" i="5"/>
  <c r="U97" i="5"/>
  <c r="U98" i="5"/>
  <c r="U99" i="5"/>
  <c r="U100" i="5"/>
  <c r="U101" i="5"/>
  <c r="U102" i="5"/>
  <c r="U103" i="5"/>
  <c r="E125" i="5"/>
  <c r="F125" i="5"/>
  <c r="G125" i="5" s="1"/>
  <c r="K125" i="5" s="1"/>
  <c r="Q125" i="5"/>
  <c r="U125" i="5"/>
  <c r="E126" i="5"/>
  <c r="F126" i="5" s="1"/>
  <c r="Q126" i="5"/>
  <c r="U126" i="5"/>
  <c r="E127" i="5"/>
  <c r="F127" i="5" s="1"/>
  <c r="Q127" i="5"/>
  <c r="U127" i="5"/>
  <c r="E128" i="5"/>
  <c r="F128" i="5"/>
  <c r="G128" i="5" s="1"/>
  <c r="K128" i="5" s="1"/>
  <c r="Q128" i="5"/>
  <c r="U128" i="5"/>
  <c r="E129" i="5"/>
  <c r="F129" i="5"/>
  <c r="G129" i="5" s="1"/>
  <c r="K129" i="5" s="1"/>
  <c r="Q129" i="5"/>
  <c r="U129" i="5"/>
  <c r="E120" i="13"/>
  <c r="F120" i="13" s="1"/>
  <c r="Q120" i="13"/>
  <c r="E121" i="13"/>
  <c r="F121" i="13" s="1"/>
  <c r="Q121" i="13"/>
  <c r="E122" i="13"/>
  <c r="F122" i="13" s="1"/>
  <c r="Q122" i="13"/>
  <c r="E123" i="13"/>
  <c r="F123" i="13" s="1"/>
  <c r="Q123" i="13"/>
  <c r="E124" i="13"/>
  <c r="F124" i="13"/>
  <c r="Q124" i="13"/>
  <c r="E101" i="16"/>
  <c r="F101" i="16"/>
  <c r="Q101" i="16"/>
  <c r="E103" i="16"/>
  <c r="F103" i="16"/>
  <c r="G103" i="16"/>
  <c r="K103" i="16"/>
  <c r="Q103" i="16"/>
  <c r="E105" i="16"/>
  <c r="F105" i="16"/>
  <c r="Q105" i="16"/>
  <c r="E107" i="16"/>
  <c r="F107" i="16"/>
  <c r="G107" i="16"/>
  <c r="K107" i="16"/>
  <c r="Q107" i="16"/>
  <c r="E109" i="16"/>
  <c r="F109" i="16"/>
  <c r="Q109" i="16"/>
  <c r="E110" i="16"/>
  <c r="F110" i="16"/>
  <c r="Q110" i="16"/>
  <c r="E111" i="16"/>
  <c r="F111" i="16"/>
  <c r="Q111" i="16"/>
  <c r="E112" i="16"/>
  <c r="F112" i="16"/>
  <c r="G112" i="16"/>
  <c r="K112" i="16"/>
  <c r="Q112" i="16"/>
  <c r="E113" i="16"/>
  <c r="F113" i="16"/>
  <c r="G113" i="16"/>
  <c r="Q113" i="16"/>
  <c r="E114" i="16"/>
  <c r="F114" i="16"/>
  <c r="G114" i="16"/>
  <c r="K114" i="16"/>
  <c r="Q114" i="16"/>
  <c r="E115" i="16"/>
  <c r="F115" i="16"/>
  <c r="Q115" i="16"/>
  <c r="E116" i="16"/>
  <c r="F116" i="16"/>
  <c r="G116" i="16"/>
  <c r="K116" i="16"/>
  <c r="Q116" i="16"/>
  <c r="E117" i="16"/>
  <c r="F117" i="16"/>
  <c r="Q117" i="16"/>
  <c r="E120" i="16"/>
  <c r="F120" i="16"/>
  <c r="Q120" i="16"/>
  <c r="E121" i="16"/>
  <c r="F121" i="16"/>
  <c r="Q121" i="16"/>
  <c r="E118" i="16"/>
  <c r="F118" i="16"/>
  <c r="G118" i="16"/>
  <c r="K118" i="16"/>
  <c r="Q118" i="16"/>
  <c r="E119" i="16"/>
  <c r="F119" i="16"/>
  <c r="G119" i="16"/>
  <c r="Q119" i="16"/>
  <c r="E122" i="16"/>
  <c r="F122" i="16"/>
  <c r="G122" i="16"/>
  <c r="K122" i="16"/>
  <c r="Q122" i="16"/>
  <c r="E123" i="16"/>
  <c r="F123" i="16"/>
  <c r="Q123" i="16"/>
  <c r="Q124" i="16"/>
  <c r="E101" i="5"/>
  <c r="F101" i="5"/>
  <c r="Q101" i="5"/>
  <c r="E103" i="5"/>
  <c r="F103" i="5"/>
  <c r="G103" i="5"/>
  <c r="K103" i="5"/>
  <c r="Q103" i="5"/>
  <c r="E105" i="5"/>
  <c r="F105" i="5"/>
  <c r="Q105" i="5"/>
  <c r="U105" i="5"/>
  <c r="E107" i="5"/>
  <c r="F107" i="5"/>
  <c r="G107" i="5"/>
  <c r="K107" i="5"/>
  <c r="Q107" i="5"/>
  <c r="U107" i="5"/>
  <c r="E109" i="5"/>
  <c r="F109" i="5"/>
  <c r="Q109" i="5"/>
  <c r="U109" i="5"/>
  <c r="E110" i="5"/>
  <c r="F110" i="5"/>
  <c r="G110" i="5"/>
  <c r="K110" i="5"/>
  <c r="Q110" i="5"/>
  <c r="U110" i="5"/>
  <c r="E111" i="5"/>
  <c r="F111" i="5"/>
  <c r="Q111" i="5"/>
  <c r="U111" i="5"/>
  <c r="E112" i="5"/>
  <c r="F112" i="5"/>
  <c r="G112" i="5"/>
  <c r="K112" i="5"/>
  <c r="Q112" i="5"/>
  <c r="U112" i="5"/>
  <c r="E113" i="5"/>
  <c r="F113" i="5"/>
  <c r="Q113" i="5"/>
  <c r="U113" i="5"/>
  <c r="E114" i="5"/>
  <c r="F114" i="5"/>
  <c r="G114" i="5"/>
  <c r="K114" i="5"/>
  <c r="Q114" i="5"/>
  <c r="U114" i="5"/>
  <c r="E115" i="5"/>
  <c r="F115" i="5"/>
  <c r="Q115" i="5"/>
  <c r="U115" i="5"/>
  <c r="E116" i="5"/>
  <c r="F116" i="5"/>
  <c r="G116" i="5"/>
  <c r="K116" i="5"/>
  <c r="Q116" i="5"/>
  <c r="U116" i="5"/>
  <c r="E117" i="5"/>
  <c r="F117" i="5"/>
  <c r="Q117" i="5"/>
  <c r="U117" i="5"/>
  <c r="E120" i="5"/>
  <c r="F120" i="5"/>
  <c r="G120" i="5"/>
  <c r="K120" i="5"/>
  <c r="Q120" i="5"/>
  <c r="U120" i="5"/>
  <c r="E121" i="5"/>
  <c r="F121" i="5"/>
  <c r="Q121" i="5"/>
  <c r="U121" i="5"/>
  <c r="E118" i="5"/>
  <c r="F118" i="5"/>
  <c r="G118" i="5"/>
  <c r="K118" i="5"/>
  <c r="Q118" i="5"/>
  <c r="U118" i="5"/>
  <c r="E119" i="5"/>
  <c r="F119" i="5"/>
  <c r="Q119" i="5"/>
  <c r="U119" i="5"/>
  <c r="E122" i="5"/>
  <c r="F122" i="5"/>
  <c r="G122" i="5"/>
  <c r="K122" i="5"/>
  <c r="Q122" i="5"/>
  <c r="U122" i="5"/>
  <c r="E123" i="5"/>
  <c r="F123" i="5"/>
  <c r="Q123" i="5"/>
  <c r="U123" i="5"/>
  <c r="E124" i="5"/>
  <c r="F124" i="5"/>
  <c r="G124" i="5"/>
  <c r="K124" i="5"/>
  <c r="Q124" i="5"/>
  <c r="U124" i="5"/>
  <c r="Q98" i="16"/>
  <c r="Q108" i="16"/>
  <c r="Q65" i="16"/>
  <c r="Q66" i="16"/>
  <c r="Q78" i="16"/>
  <c r="Q79" i="16"/>
  <c r="Q48" i="16"/>
  <c r="Q49" i="16"/>
  <c r="Q51" i="16"/>
  <c r="Q52" i="16"/>
  <c r="Q84" i="16"/>
  <c r="Q92" i="16"/>
  <c r="Q93" i="16"/>
  <c r="Q95" i="16"/>
  <c r="Q96" i="16"/>
  <c r="Q99" i="16"/>
  <c r="E112" i="13"/>
  <c r="F112" i="13"/>
  <c r="Q112" i="13"/>
  <c r="E115" i="13"/>
  <c r="F115" i="13"/>
  <c r="Q115" i="13"/>
  <c r="E116" i="13"/>
  <c r="F116" i="13"/>
  <c r="G116" i="13"/>
  <c r="K116" i="13"/>
  <c r="Q116" i="13"/>
  <c r="E113" i="13"/>
  <c r="F113" i="13"/>
  <c r="Q113" i="13"/>
  <c r="E114" i="13"/>
  <c r="F114" i="13"/>
  <c r="Q114" i="13"/>
  <c r="E117" i="13"/>
  <c r="F117" i="13"/>
  <c r="G117" i="13"/>
  <c r="K117" i="13" s="1"/>
  <c r="Q117" i="13"/>
  <c r="E118" i="13"/>
  <c r="F118" i="13"/>
  <c r="Q118" i="13"/>
  <c r="E119" i="13"/>
  <c r="F119" i="13"/>
  <c r="Q119" i="13"/>
  <c r="E105" i="13"/>
  <c r="F105" i="13"/>
  <c r="G105" i="13"/>
  <c r="K105" i="13"/>
  <c r="E106" i="13"/>
  <c r="F106" i="13"/>
  <c r="G106" i="13"/>
  <c r="K106" i="13"/>
  <c r="E108" i="13"/>
  <c r="F108" i="13"/>
  <c r="G108" i="13"/>
  <c r="K108" i="13"/>
  <c r="E109" i="13"/>
  <c r="F109" i="13"/>
  <c r="E110" i="13"/>
  <c r="F110" i="13"/>
  <c r="G110" i="13"/>
  <c r="K110" i="13"/>
  <c r="E111" i="13"/>
  <c r="F111" i="13"/>
  <c r="E67" i="13"/>
  <c r="F67" i="13"/>
  <c r="E68" i="13"/>
  <c r="U68" i="5"/>
  <c r="E69" i="13"/>
  <c r="F69" i="13"/>
  <c r="E70" i="13"/>
  <c r="F70" i="13"/>
  <c r="G70" i="13"/>
  <c r="E71" i="13"/>
  <c r="F71" i="13"/>
  <c r="G71" i="13"/>
  <c r="K71" i="13"/>
  <c r="E72" i="13"/>
  <c r="F72" i="13"/>
  <c r="E73" i="13"/>
  <c r="E74" i="13"/>
  <c r="F74" i="13"/>
  <c r="E75" i="13"/>
  <c r="F75" i="13"/>
  <c r="E76" i="13"/>
  <c r="F76" i="13"/>
  <c r="G76" i="13"/>
  <c r="K76" i="13"/>
  <c r="E77" i="13"/>
  <c r="F77" i="13"/>
  <c r="G77" i="13"/>
  <c r="E78" i="13"/>
  <c r="F78" i="13"/>
  <c r="E79" i="13"/>
  <c r="F79" i="13"/>
  <c r="G79" i="13"/>
  <c r="E80" i="13"/>
  <c r="F80" i="13"/>
  <c r="E81" i="13"/>
  <c r="F81" i="13"/>
  <c r="E82" i="13"/>
  <c r="U82" i="5"/>
  <c r="E83" i="13"/>
  <c r="F83" i="13"/>
  <c r="E84" i="13"/>
  <c r="F84" i="13"/>
  <c r="E85" i="13"/>
  <c r="F85" i="13"/>
  <c r="E86" i="13"/>
  <c r="F86" i="13"/>
  <c r="G86" i="13"/>
  <c r="E87" i="13"/>
  <c r="F87" i="13"/>
  <c r="G87" i="13"/>
  <c r="E88" i="13"/>
  <c r="F88" i="13"/>
  <c r="G88" i="13"/>
  <c r="E89" i="13"/>
  <c r="F89" i="13"/>
  <c r="E90" i="13"/>
  <c r="U90" i="5"/>
  <c r="F90" i="13"/>
  <c r="E91" i="13"/>
  <c r="F91" i="13"/>
  <c r="E92" i="13"/>
  <c r="F92" i="13"/>
  <c r="E93" i="13"/>
  <c r="F93" i="13"/>
  <c r="E94" i="13"/>
  <c r="F94" i="13"/>
  <c r="G94" i="13"/>
  <c r="K94" i="13"/>
  <c r="E95" i="13"/>
  <c r="F95" i="13"/>
  <c r="G95" i="13"/>
  <c r="K95" i="13"/>
  <c r="E96" i="13"/>
  <c r="F96" i="13"/>
  <c r="E97" i="13"/>
  <c r="F97" i="13"/>
  <c r="E98" i="13"/>
  <c r="F98" i="13"/>
  <c r="G98" i="13"/>
  <c r="K98" i="13"/>
  <c r="E99" i="13"/>
  <c r="F99" i="13"/>
  <c r="E100" i="13"/>
  <c r="F100" i="13"/>
  <c r="G100" i="13"/>
  <c r="K100" i="13"/>
  <c r="E101" i="13"/>
  <c r="F101" i="13"/>
  <c r="E102" i="13"/>
  <c r="F102" i="13"/>
  <c r="E103" i="13"/>
  <c r="F103" i="13"/>
  <c r="E104" i="13"/>
  <c r="F104" i="13"/>
  <c r="G104" i="13"/>
  <c r="K104" i="13"/>
  <c r="E107" i="13"/>
  <c r="F107" i="13"/>
  <c r="D11" i="13"/>
  <c r="P90" i="13" s="1"/>
  <c r="D12" i="13"/>
  <c r="D13" i="13"/>
  <c r="Q105" i="13"/>
  <c r="Q106" i="13"/>
  <c r="Q108" i="13"/>
  <c r="Q109" i="13"/>
  <c r="Q110" i="13"/>
  <c r="Q111" i="13"/>
  <c r="Q107" i="13"/>
  <c r="E122" i="3"/>
  <c r="F122" i="3"/>
  <c r="Q122" i="3"/>
  <c r="E121" i="3"/>
  <c r="F121" i="3"/>
  <c r="Q121" i="3"/>
  <c r="E120" i="3"/>
  <c r="F120" i="3"/>
  <c r="Q120" i="3"/>
  <c r="E119" i="3"/>
  <c r="F119" i="3"/>
  <c r="Q119" i="3"/>
  <c r="E118" i="3"/>
  <c r="F118" i="3"/>
  <c r="Q118" i="3"/>
  <c r="E117" i="3"/>
  <c r="F117" i="3"/>
  <c r="Q117" i="3"/>
  <c r="E116" i="3"/>
  <c r="F116" i="3"/>
  <c r="Q116" i="3"/>
  <c r="E115" i="3"/>
  <c r="F115" i="3"/>
  <c r="Q115" i="3"/>
  <c r="E114" i="3"/>
  <c r="F114" i="3"/>
  <c r="Q114" i="3"/>
  <c r="E113" i="3"/>
  <c r="F113" i="3"/>
  <c r="Q113" i="3"/>
  <c r="E112" i="3"/>
  <c r="F112" i="3"/>
  <c r="Q112" i="3"/>
  <c r="E111" i="3"/>
  <c r="F111" i="3"/>
  <c r="Q111" i="3"/>
  <c r="E110" i="3"/>
  <c r="F110" i="3"/>
  <c r="Q110" i="3"/>
  <c r="E109" i="3"/>
  <c r="F109" i="3"/>
  <c r="Q109" i="3"/>
  <c r="B10" i="2"/>
  <c r="A9" i="2"/>
  <c r="C9" i="2" s="1"/>
  <c r="D21" i="2"/>
  <c r="H21" i="2" s="1"/>
  <c r="E47" i="13"/>
  <c r="E48" i="13"/>
  <c r="F48" i="13"/>
  <c r="G48" i="13"/>
  <c r="K48" i="13"/>
  <c r="E49" i="13"/>
  <c r="U49" i="5"/>
  <c r="E50" i="13"/>
  <c r="F50" i="13"/>
  <c r="E51" i="13"/>
  <c r="F51" i="13"/>
  <c r="G51" i="13"/>
  <c r="E52" i="13"/>
  <c r="E53" i="13"/>
  <c r="F53" i="13"/>
  <c r="G53" i="13"/>
  <c r="E54" i="13"/>
  <c r="F54" i="13"/>
  <c r="P54" i="13"/>
  <c r="E55" i="13"/>
  <c r="F55" i="13"/>
  <c r="E56" i="13"/>
  <c r="F56" i="13"/>
  <c r="P56" i="13"/>
  <c r="R56" i="13" s="1"/>
  <c r="T56" i="13" s="1"/>
  <c r="G56" i="13"/>
  <c r="K56" i="13"/>
  <c r="E57" i="13"/>
  <c r="F57" i="13"/>
  <c r="G57" i="13"/>
  <c r="K57" i="13"/>
  <c r="E58" i="13"/>
  <c r="F58" i="13"/>
  <c r="E59" i="13"/>
  <c r="U59" i="5"/>
  <c r="F59" i="13"/>
  <c r="P59" i="13"/>
  <c r="R59" i="13" s="1"/>
  <c r="T59" i="13" s="1"/>
  <c r="E60" i="13"/>
  <c r="E61" i="13"/>
  <c r="E62" i="13"/>
  <c r="F62" i="13"/>
  <c r="G62" i="13"/>
  <c r="E63" i="13"/>
  <c r="F63" i="13"/>
  <c r="E64" i="13"/>
  <c r="F64" i="13"/>
  <c r="G64" i="13"/>
  <c r="E65" i="13"/>
  <c r="U65" i="5"/>
  <c r="F65" i="13"/>
  <c r="E66" i="13"/>
  <c r="F66" i="13"/>
  <c r="G66" i="13"/>
  <c r="E9" i="13"/>
  <c r="D9" i="13"/>
  <c r="E21" i="13"/>
  <c r="F21" i="13"/>
  <c r="E22" i="13"/>
  <c r="F22" i="13"/>
  <c r="E23" i="13"/>
  <c r="F23" i="13"/>
  <c r="E24" i="13"/>
  <c r="F24" i="13"/>
  <c r="E25" i="13"/>
  <c r="F25" i="13"/>
  <c r="E26" i="13"/>
  <c r="F26" i="13"/>
  <c r="P26" i="13"/>
  <c r="R26" i="13" s="1"/>
  <c r="T26" i="13" s="1"/>
  <c r="E27" i="13"/>
  <c r="F27" i="13"/>
  <c r="E28" i="13"/>
  <c r="F28" i="13"/>
  <c r="E29" i="13"/>
  <c r="F29" i="13"/>
  <c r="P29" i="13"/>
  <c r="R29" i="13"/>
  <c r="T29" i="13" s="1"/>
  <c r="E30" i="13"/>
  <c r="F30" i="13"/>
  <c r="P30" i="13"/>
  <c r="E31" i="13"/>
  <c r="F31" i="13"/>
  <c r="E32" i="13"/>
  <c r="F32" i="13"/>
  <c r="E33" i="13"/>
  <c r="F33" i="13"/>
  <c r="P33" i="13"/>
  <c r="R33" i="13" s="1"/>
  <c r="T33" i="13" s="1"/>
  <c r="E34" i="13"/>
  <c r="F34" i="13"/>
  <c r="P34" i="13"/>
  <c r="E35" i="13"/>
  <c r="F35" i="13"/>
  <c r="E36" i="13"/>
  <c r="F36" i="13"/>
  <c r="E37" i="13"/>
  <c r="F37" i="13"/>
  <c r="G37" i="13"/>
  <c r="J37" i="13"/>
  <c r="E38" i="13"/>
  <c r="F38" i="13"/>
  <c r="E39" i="13"/>
  <c r="F39" i="13"/>
  <c r="E40" i="13"/>
  <c r="F40" i="13"/>
  <c r="P40" i="13"/>
  <c r="E41" i="13"/>
  <c r="F41" i="13"/>
  <c r="P41" i="13"/>
  <c r="E42" i="13"/>
  <c r="F42" i="13"/>
  <c r="E43" i="13"/>
  <c r="E44" i="13"/>
  <c r="F44" i="13"/>
  <c r="E45" i="13"/>
  <c r="F45" i="13"/>
  <c r="P45" i="13"/>
  <c r="E46" i="13"/>
  <c r="U46" i="5"/>
  <c r="F16" i="13"/>
  <c r="F17" i="13" s="1"/>
  <c r="F16" i="5"/>
  <c r="F17" i="5" s="1"/>
  <c r="D12" i="5"/>
  <c r="Q98" i="13"/>
  <c r="Q104" i="13"/>
  <c r="Q65" i="13"/>
  <c r="Q66" i="13"/>
  <c r="Q78" i="13"/>
  <c r="Q79" i="13"/>
  <c r="Q48" i="13"/>
  <c r="Q49" i="13"/>
  <c r="Q51" i="13"/>
  <c r="Q52" i="13"/>
  <c r="Q84" i="13"/>
  <c r="Q92" i="13"/>
  <c r="Q93" i="13"/>
  <c r="Q95" i="13"/>
  <c r="Q96" i="13"/>
  <c r="Q99" i="13"/>
  <c r="A9" i="8"/>
  <c r="C9" i="8" s="1"/>
  <c r="D21" i="8"/>
  <c r="D22" i="8"/>
  <c r="F22" i="8" s="1"/>
  <c r="D23" i="8"/>
  <c r="F23" i="8" s="1"/>
  <c r="D24" i="8"/>
  <c r="D25" i="8"/>
  <c r="J25" i="8" s="1"/>
  <c r="D26" i="8"/>
  <c r="D27" i="8"/>
  <c r="H27" i="8" s="1"/>
  <c r="D28" i="8"/>
  <c r="F28" i="8" s="1"/>
  <c r="D29" i="8"/>
  <c r="J29" i="8" s="1"/>
  <c r="D30" i="8"/>
  <c r="I30" i="8" s="1"/>
  <c r="D31" i="8"/>
  <c r="F31" i="8" s="1"/>
  <c r="D32" i="8"/>
  <c r="F32" i="8" s="1"/>
  <c r="D33" i="8"/>
  <c r="F33" i="8" s="1"/>
  <c r="D34" i="8"/>
  <c r="J34" i="8" s="1"/>
  <c r="D35" i="8"/>
  <c r="F35" i="8" s="1"/>
  <c r="D36" i="8"/>
  <c r="F36" i="8" s="1"/>
  <c r="D37" i="8"/>
  <c r="K37" i="8" s="1"/>
  <c r="D38" i="8"/>
  <c r="J38" i="8" s="1"/>
  <c r="F38" i="8"/>
  <c r="D39" i="8"/>
  <c r="I39" i="8" s="1"/>
  <c r="D40" i="8"/>
  <c r="F40" i="8" s="1"/>
  <c r="D41" i="8"/>
  <c r="D42" i="8"/>
  <c r="D43" i="8"/>
  <c r="J43" i="8" s="1"/>
  <c r="D44" i="8"/>
  <c r="F44" i="8" s="1"/>
  <c r="D45" i="8"/>
  <c r="F45" i="8" s="1"/>
  <c r="D46" i="8"/>
  <c r="F46" i="8" s="1"/>
  <c r="D47" i="8"/>
  <c r="F47" i="8"/>
  <c r="D48" i="8"/>
  <c r="H48" i="8" s="1"/>
  <c r="D49" i="8"/>
  <c r="D50" i="8"/>
  <c r="H50" i="8" s="1"/>
  <c r="D51" i="8"/>
  <c r="L51" i="8" s="1"/>
  <c r="D52" i="8"/>
  <c r="D53" i="8"/>
  <c r="D54" i="8"/>
  <c r="I54" i="8" s="1"/>
  <c r="D55" i="8"/>
  <c r="D56" i="8"/>
  <c r="J56" i="8" s="1"/>
  <c r="D57" i="8"/>
  <c r="D58" i="8"/>
  <c r="K58" i="8" s="1"/>
  <c r="D59" i="8"/>
  <c r="F59" i="8" s="1"/>
  <c r="D60" i="8"/>
  <c r="J60" i="8" s="1"/>
  <c r="D61" i="8"/>
  <c r="D62" i="8"/>
  <c r="F62" i="8" s="1"/>
  <c r="D63" i="8"/>
  <c r="J63" i="8" s="1"/>
  <c r="D64" i="8"/>
  <c r="L64" i="8" s="1"/>
  <c r="D65" i="8"/>
  <c r="J65" i="8" s="1"/>
  <c r="D66" i="8"/>
  <c r="D67" i="8"/>
  <c r="I67" i="8" s="1"/>
  <c r="D68" i="8"/>
  <c r="F68" i="8" s="1"/>
  <c r="D69" i="8"/>
  <c r="I69" i="8" s="1"/>
  <c r="D70" i="8"/>
  <c r="I70" i="8" s="1"/>
  <c r="D71" i="8"/>
  <c r="F71" i="8" s="1"/>
  <c r="D72" i="8"/>
  <c r="J72" i="8" s="1"/>
  <c r="D73" i="8"/>
  <c r="J73" i="8" s="1"/>
  <c r="D74" i="8"/>
  <c r="F74" i="8" s="1"/>
  <c r="I74" i="8"/>
  <c r="D75" i="8"/>
  <c r="F75" i="8" s="1"/>
  <c r="D76" i="8"/>
  <c r="F76" i="8" s="1"/>
  <c r="D77" i="8"/>
  <c r="F77" i="8" s="1"/>
  <c r="D78" i="8"/>
  <c r="H78" i="8" s="1"/>
  <c r="F78" i="8"/>
  <c r="D79" i="8"/>
  <c r="F79" i="8" s="1"/>
  <c r="D80" i="8"/>
  <c r="J80" i="8" s="1"/>
  <c r="D81" i="8"/>
  <c r="J81" i="8" s="1"/>
  <c r="D82" i="8"/>
  <c r="K82" i="8" s="1"/>
  <c r="D83" i="8"/>
  <c r="F83" i="8" s="1"/>
  <c r="D84" i="8"/>
  <c r="F84" i="8" s="1"/>
  <c r="I32" i="8"/>
  <c r="I35" i="8"/>
  <c r="I38" i="8"/>
  <c r="I40" i="8"/>
  <c r="I52" i="8"/>
  <c r="I62" i="8"/>
  <c r="I64" i="8"/>
  <c r="I68" i="8"/>
  <c r="H22" i="8"/>
  <c r="H23" i="8"/>
  <c r="H26" i="8"/>
  <c r="H28" i="8"/>
  <c r="H32" i="8"/>
  <c r="H35" i="8"/>
  <c r="H40" i="8"/>
  <c r="H47" i="8"/>
  <c r="H49" i="8"/>
  <c r="H54" i="8"/>
  <c r="H56" i="8"/>
  <c r="H57" i="8"/>
  <c r="H62" i="8"/>
  <c r="H68" i="8"/>
  <c r="H71" i="8"/>
  <c r="H74" i="8"/>
  <c r="H75" i="8"/>
  <c r="H80" i="8"/>
  <c r="J22" i="8"/>
  <c r="J23" i="8"/>
  <c r="J27" i="8"/>
  <c r="J28" i="8"/>
  <c r="J32" i="8"/>
  <c r="J35" i="8"/>
  <c r="J40" i="8"/>
  <c r="J42" i="8"/>
  <c r="J46" i="8"/>
  <c r="J47" i="8"/>
  <c r="J48" i="8"/>
  <c r="J49" i="8"/>
  <c r="J57" i="8"/>
  <c r="J59" i="8"/>
  <c r="J62" i="8"/>
  <c r="J68" i="8"/>
  <c r="J74" i="8"/>
  <c r="J75" i="8"/>
  <c r="J78" i="8"/>
  <c r="J79" i="8"/>
  <c r="U92" i="5"/>
  <c r="U84" i="5"/>
  <c r="U51" i="5"/>
  <c r="U48" i="5"/>
  <c r="U79" i="5"/>
  <c r="U78" i="5"/>
  <c r="U66" i="5"/>
  <c r="U108" i="5"/>
  <c r="U106" i="5"/>
  <c r="U104" i="5"/>
  <c r="U94" i="5"/>
  <c r="U89" i="5"/>
  <c r="U88" i="5"/>
  <c r="U87" i="5"/>
  <c r="U86" i="5"/>
  <c r="U85" i="5"/>
  <c r="U77" i="5"/>
  <c r="U76" i="5"/>
  <c r="U75" i="5"/>
  <c r="U72" i="5"/>
  <c r="U71" i="5"/>
  <c r="U70" i="5"/>
  <c r="U69" i="5"/>
  <c r="U67" i="5"/>
  <c r="U64" i="5"/>
  <c r="U63" i="5"/>
  <c r="U62" i="5"/>
  <c r="U58" i="5"/>
  <c r="U57" i="5"/>
  <c r="U56" i="5"/>
  <c r="U55" i="5"/>
  <c r="U53" i="5"/>
  <c r="U50" i="5"/>
  <c r="U45" i="5"/>
  <c r="U44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D11" i="5"/>
  <c r="P27" i="5" s="1"/>
  <c r="R27" i="5" s="1"/>
  <c r="T27" i="5" s="1"/>
  <c r="Q47" i="5"/>
  <c r="E9" i="5"/>
  <c r="D9" i="5"/>
  <c r="Q45" i="5"/>
  <c r="Q98" i="5"/>
  <c r="Q108" i="5"/>
  <c r="Q65" i="5"/>
  <c r="Q66" i="5"/>
  <c r="Q78" i="5"/>
  <c r="Q79" i="5"/>
  <c r="Q48" i="5"/>
  <c r="Q49" i="5"/>
  <c r="Q51" i="5"/>
  <c r="Q52" i="5"/>
  <c r="Q84" i="5"/>
  <c r="Q92" i="5"/>
  <c r="Q93" i="5"/>
  <c r="Q95" i="5"/>
  <c r="Q96" i="5"/>
  <c r="Q99" i="5"/>
  <c r="D11" i="16"/>
  <c r="P103" i="16" s="1"/>
  <c r="R103" i="16" s="1"/>
  <c r="T103" i="16" s="1"/>
  <c r="D12" i="16"/>
  <c r="D16" i="16" s="1"/>
  <c r="D19" i="16" s="1"/>
  <c r="D13" i="16"/>
  <c r="F4" i="16"/>
  <c r="G4" i="16"/>
  <c r="W15" i="16"/>
  <c r="C17" i="16"/>
  <c r="E21" i="16"/>
  <c r="F21" i="16"/>
  <c r="Q21" i="16"/>
  <c r="E22" i="16"/>
  <c r="F22" i="16"/>
  <c r="Q22" i="16"/>
  <c r="E23" i="16"/>
  <c r="F23" i="16"/>
  <c r="G23" i="16"/>
  <c r="H23" i="16"/>
  <c r="Q23" i="16"/>
  <c r="E24" i="16"/>
  <c r="F24" i="16"/>
  <c r="Q24" i="16"/>
  <c r="E25" i="16"/>
  <c r="F25" i="16"/>
  <c r="Q25" i="16"/>
  <c r="E26" i="16"/>
  <c r="F26" i="16"/>
  <c r="Q26" i="16"/>
  <c r="E27" i="16"/>
  <c r="F27" i="16"/>
  <c r="G27" i="16"/>
  <c r="H27" i="16"/>
  <c r="Q27" i="16"/>
  <c r="E28" i="16"/>
  <c r="F28" i="16"/>
  <c r="Q28" i="16"/>
  <c r="E29" i="16"/>
  <c r="F29" i="16"/>
  <c r="Q29" i="16"/>
  <c r="E30" i="16"/>
  <c r="F30" i="16"/>
  <c r="G30" i="16"/>
  <c r="H30" i="16"/>
  <c r="Q30" i="16"/>
  <c r="E31" i="16"/>
  <c r="F31" i="16"/>
  <c r="G31" i="16"/>
  <c r="H31" i="16"/>
  <c r="Q31" i="16"/>
  <c r="E32" i="16"/>
  <c r="F32" i="16"/>
  <c r="Q32" i="16"/>
  <c r="E33" i="16"/>
  <c r="F33" i="16"/>
  <c r="G33" i="16"/>
  <c r="H33" i="16"/>
  <c r="Q33" i="16"/>
  <c r="E34" i="16"/>
  <c r="F34" i="16"/>
  <c r="Q34" i="16"/>
  <c r="E35" i="16"/>
  <c r="F35" i="16"/>
  <c r="Q35" i="16"/>
  <c r="E36" i="16"/>
  <c r="F36" i="16"/>
  <c r="Q36" i="16"/>
  <c r="E37" i="16"/>
  <c r="F37" i="16"/>
  <c r="G37" i="16"/>
  <c r="J37" i="16"/>
  <c r="Q37" i="16"/>
  <c r="E38" i="16"/>
  <c r="F38" i="16"/>
  <c r="G38" i="16"/>
  <c r="J38" i="16"/>
  <c r="Q38" i="16"/>
  <c r="E39" i="16"/>
  <c r="F39" i="16"/>
  <c r="Q39" i="16"/>
  <c r="E40" i="16"/>
  <c r="F40" i="16"/>
  <c r="Q40" i="16"/>
  <c r="E41" i="16"/>
  <c r="F41" i="16"/>
  <c r="Q41" i="16"/>
  <c r="E42" i="16"/>
  <c r="F42" i="16"/>
  <c r="Q42" i="16"/>
  <c r="E43" i="16"/>
  <c r="F43" i="16"/>
  <c r="Q43" i="16"/>
  <c r="E44" i="16"/>
  <c r="F44" i="16"/>
  <c r="Q44" i="16"/>
  <c r="E45" i="16"/>
  <c r="F45" i="16"/>
  <c r="G45" i="16"/>
  <c r="J45" i="16"/>
  <c r="E46" i="16"/>
  <c r="F46" i="16"/>
  <c r="Q46" i="16"/>
  <c r="E47" i="16"/>
  <c r="F47" i="16"/>
  <c r="G47" i="16"/>
  <c r="K47" i="16"/>
  <c r="E50" i="16"/>
  <c r="F50" i="16"/>
  <c r="G50" i="16"/>
  <c r="H50" i="16"/>
  <c r="Q50" i="16"/>
  <c r="E53" i="16"/>
  <c r="F53" i="16"/>
  <c r="Q53" i="16"/>
  <c r="E54" i="16"/>
  <c r="F54" i="16"/>
  <c r="Q54" i="16"/>
  <c r="E55" i="16"/>
  <c r="F55" i="16"/>
  <c r="Q55" i="16"/>
  <c r="E56" i="16"/>
  <c r="F56" i="16"/>
  <c r="Q56" i="16"/>
  <c r="E57" i="16"/>
  <c r="F57" i="16"/>
  <c r="Q57" i="16"/>
  <c r="E58" i="16"/>
  <c r="F58" i="16"/>
  <c r="G58" i="16"/>
  <c r="Q58" i="16"/>
  <c r="E59" i="16"/>
  <c r="F59" i="16"/>
  <c r="P59" i="16"/>
  <c r="R59" i="16" s="1"/>
  <c r="T59" i="16" s="1"/>
  <c r="Q59" i="16"/>
  <c r="E60" i="16"/>
  <c r="F60" i="16"/>
  <c r="Q60" i="16"/>
  <c r="E61" i="16"/>
  <c r="F61" i="16"/>
  <c r="Q61" i="16"/>
  <c r="E62" i="16"/>
  <c r="F62" i="16"/>
  <c r="Q62" i="16"/>
  <c r="E63" i="16"/>
  <c r="F63" i="16"/>
  <c r="Q63" i="16"/>
  <c r="E64" i="16"/>
  <c r="F64" i="16"/>
  <c r="Q64" i="16"/>
  <c r="E67" i="16"/>
  <c r="F67" i="16"/>
  <c r="Q67" i="16"/>
  <c r="E68" i="16"/>
  <c r="F68" i="16"/>
  <c r="Q68" i="16"/>
  <c r="E69" i="16"/>
  <c r="F69" i="16"/>
  <c r="Q69" i="16"/>
  <c r="E70" i="16"/>
  <c r="F70" i="16"/>
  <c r="G70" i="16"/>
  <c r="K70" i="16"/>
  <c r="Q70" i="16"/>
  <c r="E71" i="16"/>
  <c r="F71" i="16"/>
  <c r="Q71" i="16"/>
  <c r="E72" i="16"/>
  <c r="F72" i="16"/>
  <c r="Q72" i="16"/>
  <c r="E73" i="16"/>
  <c r="F73" i="16"/>
  <c r="Q73" i="16"/>
  <c r="E74" i="16"/>
  <c r="F74" i="16"/>
  <c r="Q74" i="16"/>
  <c r="E75" i="16"/>
  <c r="F75" i="16"/>
  <c r="Q75" i="16"/>
  <c r="E76" i="16"/>
  <c r="F76" i="16"/>
  <c r="Q76" i="16"/>
  <c r="E77" i="16"/>
  <c r="F77" i="16"/>
  <c r="Q77" i="16"/>
  <c r="E80" i="16"/>
  <c r="F80" i="16"/>
  <c r="Q80" i="16"/>
  <c r="E81" i="16"/>
  <c r="F81" i="16"/>
  <c r="Q81" i="16"/>
  <c r="E82" i="16"/>
  <c r="F82" i="16"/>
  <c r="Q82" i="16"/>
  <c r="E83" i="16"/>
  <c r="F83" i="16"/>
  <c r="Q83" i="16"/>
  <c r="E85" i="16"/>
  <c r="F85" i="16"/>
  <c r="Q85" i="16"/>
  <c r="E86" i="16"/>
  <c r="F86" i="16"/>
  <c r="Q86" i="16"/>
  <c r="E87" i="16"/>
  <c r="F87" i="16"/>
  <c r="Q87" i="16"/>
  <c r="E88" i="16"/>
  <c r="F88" i="16"/>
  <c r="Q88" i="16"/>
  <c r="E89" i="16"/>
  <c r="F89" i="16"/>
  <c r="Q89" i="16"/>
  <c r="E90" i="16"/>
  <c r="F90" i="16"/>
  <c r="G90" i="16"/>
  <c r="K90" i="16"/>
  <c r="P90" i="16"/>
  <c r="Q90" i="16"/>
  <c r="E91" i="16"/>
  <c r="F91" i="16"/>
  <c r="Q91" i="16"/>
  <c r="E94" i="16"/>
  <c r="F94" i="16"/>
  <c r="G94" i="16"/>
  <c r="K94" i="16"/>
  <c r="Q94" i="16"/>
  <c r="E97" i="16"/>
  <c r="F97" i="16"/>
  <c r="Q97" i="16"/>
  <c r="E100" i="16"/>
  <c r="F100" i="16"/>
  <c r="P100" i="16"/>
  <c r="G100" i="16"/>
  <c r="K100" i="16"/>
  <c r="Q100" i="16"/>
  <c r="E102" i="16"/>
  <c r="F102" i="16"/>
  <c r="Q102" i="16"/>
  <c r="E104" i="16"/>
  <c r="F104" i="16"/>
  <c r="Q104" i="16"/>
  <c r="E106" i="16"/>
  <c r="F106" i="16"/>
  <c r="G106" i="16"/>
  <c r="K106" i="16"/>
  <c r="Q106" i="16"/>
  <c r="E98" i="16"/>
  <c r="F98" i="16"/>
  <c r="E108" i="16"/>
  <c r="F108" i="16"/>
  <c r="G108" i="16"/>
  <c r="K108" i="16"/>
  <c r="E65" i="16"/>
  <c r="F65" i="16"/>
  <c r="E66" i="16"/>
  <c r="F66" i="16"/>
  <c r="E78" i="16"/>
  <c r="F78" i="16"/>
  <c r="E79" i="16"/>
  <c r="F79" i="16"/>
  <c r="E48" i="16"/>
  <c r="F48" i="16"/>
  <c r="E49" i="16"/>
  <c r="F49" i="16"/>
  <c r="E51" i="16"/>
  <c r="F51" i="16"/>
  <c r="E52" i="16"/>
  <c r="F52" i="16"/>
  <c r="E84" i="16"/>
  <c r="F84" i="16"/>
  <c r="E92" i="16"/>
  <c r="F92" i="16"/>
  <c r="P92" i="16"/>
  <c r="R92" i="16" s="1"/>
  <c r="T92" i="16" s="1"/>
  <c r="E93" i="16"/>
  <c r="F93" i="16"/>
  <c r="E95" i="16"/>
  <c r="F95" i="16"/>
  <c r="E96" i="16"/>
  <c r="F96" i="16"/>
  <c r="E99" i="16"/>
  <c r="F99" i="16"/>
  <c r="P99" i="16"/>
  <c r="U2" i="15"/>
  <c r="U3" i="15"/>
  <c r="F4" i="15"/>
  <c r="G4" i="15"/>
  <c r="U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E41" i="15"/>
  <c r="F41" i="15"/>
  <c r="P41" i="15"/>
  <c r="R41" i="15"/>
  <c r="G41" i="15"/>
  <c r="E42" i="15"/>
  <c r="F42" i="15"/>
  <c r="E43" i="15"/>
  <c r="F43" i="15"/>
  <c r="P43" i="15"/>
  <c r="G43" i="15"/>
  <c r="H43" i="15"/>
  <c r="R43" i="15"/>
  <c r="E44" i="15"/>
  <c r="F44" i="15"/>
  <c r="G44" i="15"/>
  <c r="R44" i="15"/>
  <c r="P44" i="15"/>
  <c r="E45" i="15"/>
  <c r="F45" i="15"/>
  <c r="G45" i="15"/>
  <c r="P45" i="15"/>
  <c r="R45" i="15"/>
  <c r="E46" i="15"/>
  <c r="F46" i="15"/>
  <c r="E47" i="15"/>
  <c r="F47" i="15"/>
  <c r="E48" i="15"/>
  <c r="F48" i="15"/>
  <c r="P48" i="15"/>
  <c r="E49" i="15"/>
  <c r="F49" i="15"/>
  <c r="P49" i="15"/>
  <c r="R49" i="15"/>
  <c r="G49" i="15"/>
  <c r="E50" i="15"/>
  <c r="F50" i="15"/>
  <c r="E51" i="15"/>
  <c r="F51" i="15"/>
  <c r="P51" i="15"/>
  <c r="G51" i="15"/>
  <c r="H51" i="15"/>
  <c r="R51" i="15"/>
  <c r="E52" i="15"/>
  <c r="F52" i="15"/>
  <c r="G52" i="15"/>
  <c r="H52" i="15"/>
  <c r="P52" i="15"/>
  <c r="R52" i="15"/>
  <c r="E53" i="15"/>
  <c r="F53" i="15"/>
  <c r="G53" i="15"/>
  <c r="E54" i="15"/>
  <c r="F54" i="15"/>
  <c r="E55" i="15"/>
  <c r="F55" i="15"/>
  <c r="E56" i="15"/>
  <c r="F56" i="15"/>
  <c r="G56" i="15"/>
  <c r="N56" i="15"/>
  <c r="P56" i="15"/>
  <c r="R56" i="15"/>
  <c r="E57" i="15"/>
  <c r="F57" i="15"/>
  <c r="P57" i="15"/>
  <c r="E58" i="15"/>
  <c r="F58" i="15"/>
  <c r="E59" i="15"/>
  <c r="F59" i="15"/>
  <c r="P59" i="15"/>
  <c r="G59" i="15"/>
  <c r="N59" i="15"/>
  <c r="U21" i="15"/>
  <c r="U22" i="15"/>
  <c r="U23" i="15"/>
  <c r="U24" i="15"/>
  <c r="U25" i="15"/>
  <c r="U26" i="15"/>
  <c r="U27" i="15"/>
  <c r="E60" i="15"/>
  <c r="F60" i="15"/>
  <c r="E61" i="15"/>
  <c r="F61" i="15"/>
  <c r="P61" i="15"/>
  <c r="E62" i="15"/>
  <c r="F62" i="15"/>
  <c r="E63" i="15"/>
  <c r="F63" i="15"/>
  <c r="E64" i="15"/>
  <c r="F64" i="15"/>
  <c r="P64" i="15"/>
  <c r="R64" i="15"/>
  <c r="E65" i="15"/>
  <c r="F65" i="15"/>
  <c r="E66" i="15"/>
  <c r="F66" i="15"/>
  <c r="G66" i="15"/>
  <c r="E67" i="15"/>
  <c r="F67" i="15"/>
  <c r="G67" i="15"/>
  <c r="E68" i="15"/>
  <c r="F68" i="15"/>
  <c r="G68" i="15"/>
  <c r="H68" i="15"/>
  <c r="E69" i="15"/>
  <c r="F69" i="15"/>
  <c r="G69" i="15"/>
  <c r="E70" i="15"/>
  <c r="F70" i="15"/>
  <c r="E71" i="15"/>
  <c r="F71" i="15"/>
  <c r="G71" i="15"/>
  <c r="L71" i="15"/>
  <c r="E72" i="15"/>
  <c r="F72" i="15"/>
  <c r="G72" i="15"/>
  <c r="E73" i="15"/>
  <c r="F73" i="15"/>
  <c r="E74" i="15"/>
  <c r="F74" i="15"/>
  <c r="G74" i="15"/>
  <c r="E75" i="15"/>
  <c r="F75" i="15"/>
  <c r="E76" i="15"/>
  <c r="F76" i="15"/>
  <c r="E77" i="15"/>
  <c r="F77" i="15"/>
  <c r="E78" i="15"/>
  <c r="F78" i="15"/>
  <c r="E79" i="15"/>
  <c r="F79" i="15"/>
  <c r="P79" i="15"/>
  <c r="E80" i="15"/>
  <c r="F80" i="15"/>
  <c r="E81" i="15"/>
  <c r="F81" i="15"/>
  <c r="E82" i="15"/>
  <c r="F82" i="15"/>
  <c r="E83" i="15"/>
  <c r="F83" i="15"/>
  <c r="P83" i="15"/>
  <c r="E84" i="15"/>
  <c r="F84" i="15"/>
  <c r="P84" i="15"/>
  <c r="E85" i="15"/>
  <c r="F85" i="15"/>
  <c r="E86" i="15"/>
  <c r="F86" i="15"/>
  <c r="E87" i="15"/>
  <c r="F87" i="15"/>
  <c r="E88" i="15"/>
  <c r="F88" i="15"/>
  <c r="E89" i="15"/>
  <c r="F89" i="15"/>
  <c r="E90" i="15"/>
  <c r="F90" i="15"/>
  <c r="G90" i="15"/>
  <c r="L90" i="15"/>
  <c r="E91" i="15"/>
  <c r="F91" i="15"/>
  <c r="E92" i="15"/>
  <c r="F92" i="15"/>
  <c r="E93" i="15"/>
  <c r="F93" i="15"/>
  <c r="E94" i="15"/>
  <c r="F94" i="15"/>
  <c r="E95" i="15"/>
  <c r="F95" i="15"/>
  <c r="G95" i="15"/>
  <c r="E96" i="15"/>
  <c r="F96" i="15"/>
  <c r="G96" i="15"/>
  <c r="E97" i="15"/>
  <c r="F97" i="15"/>
  <c r="G97" i="15"/>
  <c r="E98" i="15"/>
  <c r="F98" i="15"/>
  <c r="E99" i="15"/>
  <c r="F99" i="15"/>
  <c r="E100" i="15"/>
  <c r="F100" i="15"/>
  <c r="E101" i="15"/>
  <c r="F101" i="15"/>
  <c r="G101" i="15"/>
  <c r="L101" i="15"/>
  <c r="E102" i="15"/>
  <c r="F102" i="15"/>
  <c r="G102" i="15"/>
  <c r="L102" i="15"/>
  <c r="E103" i="15"/>
  <c r="F103" i="15"/>
  <c r="G103" i="15"/>
  <c r="E104" i="15"/>
  <c r="F104" i="15"/>
  <c r="G104" i="15"/>
  <c r="E105" i="15"/>
  <c r="F105" i="15"/>
  <c r="G105" i="15"/>
  <c r="E106" i="15"/>
  <c r="F106" i="15"/>
  <c r="E107" i="15"/>
  <c r="F107" i="15"/>
  <c r="G107" i="15"/>
  <c r="L107" i="15"/>
  <c r="E108" i="15"/>
  <c r="F108" i="15"/>
  <c r="U28" i="15"/>
  <c r="C29" i="15"/>
  <c r="D31" i="15"/>
  <c r="U29" i="15"/>
  <c r="C30" i="15"/>
  <c r="U30" i="15"/>
  <c r="U31" i="15"/>
  <c r="U32" i="15"/>
  <c r="H41" i="15"/>
  <c r="Q41" i="15"/>
  <c r="Q42" i="15"/>
  <c r="Q43" i="15"/>
  <c r="H44" i="15"/>
  <c r="Q44" i="15"/>
  <c r="H45" i="15"/>
  <c r="Q45" i="15"/>
  <c r="Q46" i="15"/>
  <c r="Q47" i="15"/>
  <c r="Q48" i="15"/>
  <c r="H49" i="15"/>
  <c r="Q49" i="15"/>
  <c r="Q50" i="15"/>
  <c r="Q51" i="15"/>
  <c r="Q52" i="15"/>
  <c r="H53" i="15"/>
  <c r="Q53" i="15"/>
  <c r="Q54" i="15"/>
  <c r="Q55" i="15"/>
  <c r="Q56" i="15"/>
  <c r="Q57" i="15"/>
  <c r="Q58" i="15"/>
  <c r="Q59" i="15"/>
  <c r="G60" i="15"/>
  <c r="N60" i="15"/>
  <c r="P60" i="15"/>
  <c r="Q60" i="15"/>
  <c r="R60" i="15"/>
  <c r="G61" i="15"/>
  <c r="I61" i="15"/>
  <c r="Q61" i="15"/>
  <c r="G62" i="15"/>
  <c r="I62" i="15"/>
  <c r="P62" i="15"/>
  <c r="R62" i="15"/>
  <c r="Q62" i="15"/>
  <c r="Q63" i="15"/>
  <c r="G64" i="15"/>
  <c r="N64" i="15"/>
  <c r="Q64" i="15"/>
  <c r="Q65" i="15"/>
  <c r="N66" i="15"/>
  <c r="P66" i="15"/>
  <c r="Q66" i="15"/>
  <c r="R66" i="15"/>
  <c r="H67" i="15"/>
  <c r="Q67" i="15"/>
  <c r="P68" i="15"/>
  <c r="Q68" i="15"/>
  <c r="R68" i="15"/>
  <c r="H69" i="15"/>
  <c r="Q69" i="15"/>
  <c r="Q70" i="15"/>
  <c r="Q71" i="15"/>
  <c r="L72" i="15"/>
  <c r="Q72" i="15"/>
  <c r="Q73" i="15"/>
  <c r="N74" i="15"/>
  <c r="P74" i="15"/>
  <c r="Q74" i="15"/>
  <c r="R74" i="15"/>
  <c r="Q75" i="15"/>
  <c r="G76" i="15"/>
  <c r="L76" i="15"/>
  <c r="P76" i="15"/>
  <c r="Q76" i="15"/>
  <c r="R76" i="15"/>
  <c r="G77" i="15"/>
  <c r="N77" i="15"/>
  <c r="P77" i="15"/>
  <c r="Q77" i="15"/>
  <c r="G78" i="15"/>
  <c r="N78" i="15"/>
  <c r="P78" i="15"/>
  <c r="R78" i="15"/>
  <c r="Q78" i="15"/>
  <c r="G79" i="15"/>
  <c r="N79" i="15"/>
  <c r="Q79" i="15"/>
  <c r="G80" i="15"/>
  <c r="L80" i="15"/>
  <c r="Q80" i="15"/>
  <c r="G81" i="15"/>
  <c r="L81" i="15"/>
  <c r="Q81" i="15"/>
  <c r="G82" i="15"/>
  <c r="N82" i="15"/>
  <c r="P82" i="15"/>
  <c r="Q82" i="15"/>
  <c r="G83" i="15"/>
  <c r="N83" i="15"/>
  <c r="Q83" i="15"/>
  <c r="G84" i="15"/>
  <c r="N84" i="15"/>
  <c r="Q84" i="15"/>
  <c r="R84" i="15"/>
  <c r="Q85" i="15"/>
  <c r="Q86" i="15"/>
  <c r="Q87" i="15"/>
  <c r="G88" i="15"/>
  <c r="L88" i="15"/>
  <c r="P88" i="15"/>
  <c r="Q88" i="15"/>
  <c r="R88" i="15"/>
  <c r="G89" i="15"/>
  <c r="L89" i="15"/>
  <c r="P89" i="15"/>
  <c r="Q89" i="15"/>
  <c r="Q90" i="15"/>
  <c r="Q91" i="15"/>
  <c r="G92" i="15"/>
  <c r="L92" i="15"/>
  <c r="Q92" i="15"/>
  <c r="G93" i="15"/>
  <c r="L93" i="15"/>
  <c r="Q93" i="15"/>
  <c r="G94" i="15"/>
  <c r="L94" i="15"/>
  <c r="Q94" i="15"/>
  <c r="L95" i="15"/>
  <c r="Q95" i="15"/>
  <c r="L96" i="15"/>
  <c r="Q96" i="15"/>
  <c r="L97" i="15"/>
  <c r="Q97" i="15"/>
  <c r="G98" i="15"/>
  <c r="L98" i="15"/>
  <c r="Q98" i="15"/>
  <c r="G99" i="15"/>
  <c r="L99" i="15"/>
  <c r="Q99" i="15"/>
  <c r="G100" i="15"/>
  <c r="L100" i="15"/>
  <c r="Q100" i="15"/>
  <c r="Q101" i="15"/>
  <c r="Q102" i="15"/>
  <c r="L103" i="15"/>
  <c r="Q103" i="15"/>
  <c r="L104" i="15"/>
  <c r="Q104" i="15"/>
  <c r="L105" i="15"/>
  <c r="Q105" i="15"/>
  <c r="G106" i="15"/>
  <c r="L106" i="15"/>
  <c r="Q106" i="15"/>
  <c r="Q107" i="15"/>
  <c r="G108" i="15"/>
  <c r="L108" i="15"/>
  <c r="Q108" i="15"/>
  <c r="P37" i="13"/>
  <c r="G40" i="13"/>
  <c r="J40" i="13"/>
  <c r="G45" i="13"/>
  <c r="J45" i="13"/>
  <c r="P53" i="13"/>
  <c r="P57" i="13"/>
  <c r="P62" i="13"/>
  <c r="R62" i="13"/>
  <c r="T62" i="13" s="1"/>
  <c r="P64" i="13"/>
  <c r="X64" i="13" s="1"/>
  <c r="P70" i="13"/>
  <c r="R70" i="13" s="1"/>
  <c r="T70" i="13" s="1"/>
  <c r="P76" i="13"/>
  <c r="X76" i="13" s="1"/>
  <c r="P77" i="13"/>
  <c r="P86" i="13"/>
  <c r="P100" i="13"/>
  <c r="R100" i="13" s="1"/>
  <c r="T100" i="13" s="1"/>
  <c r="G34" i="13"/>
  <c r="Q45" i="13"/>
  <c r="Q46" i="13"/>
  <c r="Q47" i="13"/>
  <c r="K77" i="13"/>
  <c r="K87" i="13"/>
  <c r="G29" i="13"/>
  <c r="I29" i="13"/>
  <c r="G30" i="13"/>
  <c r="I30" i="13"/>
  <c r="G33" i="13"/>
  <c r="I33" i="13"/>
  <c r="E98" i="5"/>
  <c r="F98" i="5"/>
  <c r="E108" i="5"/>
  <c r="E63" i="14"/>
  <c r="E65" i="5"/>
  <c r="F65" i="5"/>
  <c r="E66" i="5"/>
  <c r="F66" i="5"/>
  <c r="E78" i="5"/>
  <c r="F78" i="5"/>
  <c r="E79" i="5"/>
  <c r="F79" i="5"/>
  <c r="E48" i="5"/>
  <c r="F48" i="5"/>
  <c r="E49" i="5"/>
  <c r="F49" i="5"/>
  <c r="E51" i="5"/>
  <c r="E49" i="14"/>
  <c r="E52" i="5"/>
  <c r="F52" i="5"/>
  <c r="E84" i="5"/>
  <c r="F84" i="5"/>
  <c r="E92" i="5"/>
  <c r="E57" i="14"/>
  <c r="E93" i="5"/>
  <c r="F93" i="5"/>
  <c r="E95" i="5"/>
  <c r="F95" i="5"/>
  <c r="E96" i="5"/>
  <c r="E60" i="14"/>
  <c r="E99" i="5"/>
  <c r="F99" i="5"/>
  <c r="E90" i="5"/>
  <c r="F90" i="5"/>
  <c r="E91" i="5"/>
  <c r="F91" i="5"/>
  <c r="E94" i="5"/>
  <c r="F94" i="5"/>
  <c r="E97" i="5"/>
  <c r="F97" i="5"/>
  <c r="E100" i="5"/>
  <c r="F100" i="5"/>
  <c r="E102" i="5"/>
  <c r="F102" i="5"/>
  <c r="E104" i="5"/>
  <c r="F104" i="5"/>
  <c r="E106" i="5"/>
  <c r="F106" i="5"/>
  <c r="E47" i="5"/>
  <c r="F47" i="5"/>
  <c r="E45" i="5"/>
  <c r="F45" i="5"/>
  <c r="E100" i="3"/>
  <c r="F100" i="3"/>
  <c r="G100" i="3"/>
  <c r="K100" i="3"/>
  <c r="E101" i="3"/>
  <c r="F101" i="3"/>
  <c r="G101" i="3"/>
  <c r="K101" i="3"/>
  <c r="E92" i="3"/>
  <c r="U73" i="16"/>
  <c r="F92" i="3"/>
  <c r="G92" i="3"/>
  <c r="K92" i="3"/>
  <c r="E93" i="3"/>
  <c r="F93" i="3"/>
  <c r="G93" i="3"/>
  <c r="K93" i="3"/>
  <c r="E94" i="3"/>
  <c r="E95" i="3"/>
  <c r="F95" i="3"/>
  <c r="G95" i="3"/>
  <c r="K95" i="3"/>
  <c r="E96" i="3"/>
  <c r="F96" i="3"/>
  <c r="G96" i="3"/>
  <c r="K96" i="3"/>
  <c r="E97" i="3"/>
  <c r="F97" i="3"/>
  <c r="G97" i="3"/>
  <c r="K97" i="3"/>
  <c r="E103" i="3"/>
  <c r="F103" i="3"/>
  <c r="G103" i="3"/>
  <c r="K103" i="3"/>
  <c r="E108" i="3"/>
  <c r="F108" i="3"/>
  <c r="G108" i="3"/>
  <c r="K108" i="3"/>
  <c r="E50" i="5"/>
  <c r="F50" i="5"/>
  <c r="G50" i="5"/>
  <c r="H50" i="5"/>
  <c r="E53" i="5"/>
  <c r="F53" i="5"/>
  <c r="G53" i="5"/>
  <c r="H53" i="5"/>
  <c r="E54" i="5"/>
  <c r="F54" i="5"/>
  <c r="E55" i="5"/>
  <c r="F55" i="5"/>
  <c r="E56" i="5"/>
  <c r="F56" i="5"/>
  <c r="E57" i="5"/>
  <c r="F57" i="5"/>
  <c r="G57" i="5"/>
  <c r="K57" i="5"/>
  <c r="E58" i="5"/>
  <c r="F58" i="5"/>
  <c r="E59" i="5"/>
  <c r="F59" i="5"/>
  <c r="G59" i="5"/>
  <c r="K59" i="5"/>
  <c r="E60" i="5"/>
  <c r="F60" i="5"/>
  <c r="E61" i="5"/>
  <c r="F61" i="5"/>
  <c r="G61" i="5"/>
  <c r="K61" i="5"/>
  <c r="E62" i="5"/>
  <c r="F62" i="5"/>
  <c r="E63" i="5"/>
  <c r="F63" i="5"/>
  <c r="E64" i="5"/>
  <c r="F64" i="5"/>
  <c r="E67" i="5"/>
  <c r="F67" i="5"/>
  <c r="G67" i="5"/>
  <c r="K67" i="5"/>
  <c r="E68" i="5"/>
  <c r="F68" i="5"/>
  <c r="E69" i="5"/>
  <c r="F69" i="5"/>
  <c r="G69" i="5"/>
  <c r="K69" i="5"/>
  <c r="E70" i="5"/>
  <c r="F70" i="5"/>
  <c r="E71" i="5"/>
  <c r="F71" i="5"/>
  <c r="G71" i="5"/>
  <c r="K71" i="5"/>
  <c r="E72" i="5"/>
  <c r="F72" i="5"/>
  <c r="E73" i="5"/>
  <c r="F73" i="5"/>
  <c r="E74" i="5"/>
  <c r="F74" i="5"/>
  <c r="E75" i="5"/>
  <c r="F75" i="5"/>
  <c r="G75" i="5"/>
  <c r="K75" i="5"/>
  <c r="E76" i="5"/>
  <c r="E33" i="14"/>
  <c r="E77" i="5"/>
  <c r="F77" i="5"/>
  <c r="G77" i="5"/>
  <c r="K77" i="5"/>
  <c r="E80" i="5"/>
  <c r="F80" i="5"/>
  <c r="E81" i="5"/>
  <c r="F81" i="5"/>
  <c r="G81" i="5"/>
  <c r="K81" i="5"/>
  <c r="E82" i="5"/>
  <c r="F82" i="5"/>
  <c r="E83" i="5"/>
  <c r="F83" i="5"/>
  <c r="E85" i="5"/>
  <c r="F85" i="5"/>
  <c r="E86" i="5"/>
  <c r="F86" i="5"/>
  <c r="G86" i="5"/>
  <c r="K86" i="5"/>
  <c r="E87" i="5"/>
  <c r="F87" i="5"/>
  <c r="G87" i="5"/>
  <c r="E88" i="5"/>
  <c r="F88" i="5"/>
  <c r="E89" i="5"/>
  <c r="F89" i="5"/>
  <c r="G89" i="5"/>
  <c r="K89" i="5"/>
  <c r="G12" i="14"/>
  <c r="C12" i="14"/>
  <c r="E12" i="14"/>
  <c r="E22" i="5"/>
  <c r="G13" i="14"/>
  <c r="C13" i="14"/>
  <c r="E23" i="5"/>
  <c r="F23" i="5"/>
  <c r="G14" i="14"/>
  <c r="C14" i="14"/>
  <c r="E24" i="5"/>
  <c r="E14" i="14"/>
  <c r="G15" i="14"/>
  <c r="C15" i="14"/>
  <c r="E25" i="5"/>
  <c r="G16" i="14"/>
  <c r="C16" i="14"/>
  <c r="E16" i="14"/>
  <c r="E27" i="5"/>
  <c r="G17" i="14"/>
  <c r="C17" i="14"/>
  <c r="E28" i="5"/>
  <c r="G18" i="14"/>
  <c r="C18" i="14"/>
  <c r="E29" i="5"/>
  <c r="F29" i="5"/>
  <c r="G19" i="14"/>
  <c r="C19" i="14"/>
  <c r="E30" i="5"/>
  <c r="E19" i="14"/>
  <c r="G20" i="14"/>
  <c r="C20" i="14"/>
  <c r="E31" i="5"/>
  <c r="E20" i="14"/>
  <c r="G21" i="14"/>
  <c r="C21" i="14"/>
  <c r="E21" i="14"/>
  <c r="E32" i="5"/>
  <c r="G22" i="14"/>
  <c r="C22" i="14"/>
  <c r="E33" i="5"/>
  <c r="E22" i="14"/>
  <c r="G40" i="14"/>
  <c r="C40" i="14"/>
  <c r="E40" i="14"/>
  <c r="G41" i="14"/>
  <c r="C41" i="14"/>
  <c r="E41" i="14"/>
  <c r="G42" i="14"/>
  <c r="C42" i="14"/>
  <c r="E42" i="14"/>
  <c r="G43" i="14"/>
  <c r="C43" i="14"/>
  <c r="E43" i="14"/>
  <c r="G44" i="14"/>
  <c r="C44" i="14"/>
  <c r="E44" i="14"/>
  <c r="G45" i="14"/>
  <c r="C45" i="14"/>
  <c r="E45" i="14"/>
  <c r="G46" i="14"/>
  <c r="C46" i="14"/>
  <c r="E46" i="14"/>
  <c r="G23" i="14"/>
  <c r="C23" i="14"/>
  <c r="E42" i="5"/>
  <c r="E23" i="14"/>
  <c r="G24" i="14"/>
  <c r="C24" i="14"/>
  <c r="E43" i="5"/>
  <c r="E24" i="14"/>
  <c r="G25" i="14"/>
  <c r="C25" i="14"/>
  <c r="E44" i="5"/>
  <c r="E25" i="14"/>
  <c r="G47" i="14"/>
  <c r="C47" i="14"/>
  <c r="E47" i="14"/>
  <c r="G48" i="14"/>
  <c r="C48" i="14"/>
  <c r="E48" i="14"/>
  <c r="G49" i="14"/>
  <c r="C49" i="14"/>
  <c r="G50" i="14"/>
  <c r="C50" i="14"/>
  <c r="E50" i="14"/>
  <c r="G51" i="14"/>
  <c r="C51" i="14"/>
  <c r="E51" i="14"/>
  <c r="G52" i="14"/>
  <c r="C52" i="14"/>
  <c r="E52" i="14"/>
  <c r="G26" i="14"/>
  <c r="C26" i="14"/>
  <c r="E26" i="14"/>
  <c r="G27" i="14"/>
  <c r="C27" i="14"/>
  <c r="E27" i="14"/>
  <c r="G28" i="14"/>
  <c r="C28" i="14"/>
  <c r="E28" i="14"/>
  <c r="G29" i="14"/>
  <c r="C29" i="14"/>
  <c r="E29" i="14"/>
  <c r="G30" i="14"/>
  <c r="C30" i="14"/>
  <c r="E30" i="14"/>
  <c r="G31" i="14"/>
  <c r="C31" i="14"/>
  <c r="G32" i="14"/>
  <c r="C32" i="14"/>
  <c r="E32" i="14"/>
  <c r="G33" i="14"/>
  <c r="C33" i="14"/>
  <c r="G53" i="14"/>
  <c r="C53" i="14"/>
  <c r="E53" i="14"/>
  <c r="G54" i="14"/>
  <c r="C54" i="14"/>
  <c r="G55" i="14"/>
  <c r="C55" i="14"/>
  <c r="E55" i="14"/>
  <c r="G34" i="14"/>
  <c r="C34" i="14"/>
  <c r="E34" i="14"/>
  <c r="G56" i="14"/>
  <c r="C56" i="14"/>
  <c r="E56" i="14"/>
  <c r="G57" i="14"/>
  <c r="C57" i="14"/>
  <c r="G58" i="14"/>
  <c r="C58" i="14"/>
  <c r="G59" i="14"/>
  <c r="C59" i="14"/>
  <c r="E59" i="14"/>
  <c r="G60" i="14"/>
  <c r="C60" i="14"/>
  <c r="G35" i="14"/>
  <c r="C35" i="14"/>
  <c r="E35" i="14"/>
  <c r="G61" i="14"/>
  <c r="C61" i="14"/>
  <c r="E61" i="14"/>
  <c r="G62" i="14"/>
  <c r="C62" i="14"/>
  <c r="E62" i="14"/>
  <c r="G36" i="14"/>
  <c r="C36" i="14"/>
  <c r="E36" i="14"/>
  <c r="G37" i="14"/>
  <c r="C37" i="14"/>
  <c r="G38" i="14"/>
  <c r="C38" i="14"/>
  <c r="E38" i="14"/>
  <c r="G39" i="14"/>
  <c r="C39" i="14"/>
  <c r="E39" i="14"/>
  <c r="G63" i="14"/>
  <c r="C63" i="14"/>
  <c r="G11" i="14"/>
  <c r="C11" i="14"/>
  <c r="E11" i="14"/>
  <c r="E21" i="5"/>
  <c r="H63" i="14"/>
  <c r="B63" i="14"/>
  <c r="D63" i="14"/>
  <c r="A63" i="14"/>
  <c r="H39" i="14"/>
  <c r="D39" i="14"/>
  <c r="B39" i="14"/>
  <c r="A39" i="14"/>
  <c r="H38" i="14"/>
  <c r="B38" i="14"/>
  <c r="D38" i="14"/>
  <c r="A38" i="14"/>
  <c r="H37" i="14"/>
  <c r="D37" i="14"/>
  <c r="B37" i="14"/>
  <c r="A37" i="14"/>
  <c r="H36" i="14"/>
  <c r="B36" i="14"/>
  <c r="D36" i="14"/>
  <c r="A36" i="14"/>
  <c r="H62" i="14"/>
  <c r="D62" i="14"/>
  <c r="B62" i="14"/>
  <c r="A62" i="14"/>
  <c r="H61" i="14"/>
  <c r="B61" i="14"/>
  <c r="D61" i="14"/>
  <c r="A61" i="14"/>
  <c r="H35" i="14"/>
  <c r="D35" i="14"/>
  <c r="B35" i="14"/>
  <c r="A35" i="14"/>
  <c r="H60" i="14"/>
  <c r="B60" i="14"/>
  <c r="D60" i="14"/>
  <c r="A60" i="14"/>
  <c r="H59" i="14"/>
  <c r="D59" i="14"/>
  <c r="B59" i="14"/>
  <c r="A59" i="14"/>
  <c r="H58" i="14"/>
  <c r="B58" i="14"/>
  <c r="D58" i="14"/>
  <c r="A58" i="14"/>
  <c r="H57" i="14"/>
  <c r="D57" i="14"/>
  <c r="B57" i="14"/>
  <c r="A57" i="14"/>
  <c r="H56" i="14"/>
  <c r="B56" i="14"/>
  <c r="D56" i="14"/>
  <c r="A56" i="14"/>
  <c r="H34" i="14"/>
  <c r="D34" i="14"/>
  <c r="B34" i="14"/>
  <c r="A34" i="14"/>
  <c r="H55" i="14"/>
  <c r="B55" i="14"/>
  <c r="D55" i="14"/>
  <c r="A55" i="14"/>
  <c r="H54" i="14"/>
  <c r="D54" i="14"/>
  <c r="B54" i="14"/>
  <c r="A54" i="14"/>
  <c r="H53" i="14"/>
  <c r="B53" i="14"/>
  <c r="D53" i="14"/>
  <c r="A53" i="14"/>
  <c r="H33" i="14"/>
  <c r="D33" i="14"/>
  <c r="B33" i="14"/>
  <c r="A33" i="14"/>
  <c r="H32" i="14"/>
  <c r="B32" i="14"/>
  <c r="D32" i="14"/>
  <c r="A32" i="14"/>
  <c r="H31" i="14"/>
  <c r="D31" i="14"/>
  <c r="B31" i="14"/>
  <c r="A31" i="14"/>
  <c r="H30" i="14"/>
  <c r="B30" i="14"/>
  <c r="D30" i="14"/>
  <c r="A30" i="14"/>
  <c r="H29" i="14"/>
  <c r="D29" i="14"/>
  <c r="B29" i="14"/>
  <c r="A29" i="14"/>
  <c r="H28" i="14"/>
  <c r="B28" i="14"/>
  <c r="D28" i="14"/>
  <c r="A28" i="14"/>
  <c r="H27" i="14"/>
  <c r="D27" i="14"/>
  <c r="B27" i="14"/>
  <c r="A27" i="14"/>
  <c r="H26" i="14"/>
  <c r="B26" i="14"/>
  <c r="D26" i="14"/>
  <c r="A26" i="14"/>
  <c r="H52" i="14"/>
  <c r="D52" i="14"/>
  <c r="B52" i="14"/>
  <c r="A52" i="14"/>
  <c r="H51" i="14"/>
  <c r="B51" i="14"/>
  <c r="D51" i="14"/>
  <c r="A51" i="14"/>
  <c r="H50" i="14"/>
  <c r="D50" i="14"/>
  <c r="B50" i="14"/>
  <c r="A50" i="14"/>
  <c r="H49" i="14"/>
  <c r="B49" i="14"/>
  <c r="D49" i="14"/>
  <c r="A49" i="14"/>
  <c r="H48" i="14"/>
  <c r="D48" i="14"/>
  <c r="B48" i="14"/>
  <c r="A48" i="14"/>
  <c r="H47" i="14"/>
  <c r="B47" i="14"/>
  <c r="D47" i="14"/>
  <c r="A47" i="14"/>
  <c r="H25" i="14"/>
  <c r="D25" i="14"/>
  <c r="B25" i="14"/>
  <c r="A25" i="14"/>
  <c r="H24" i="14"/>
  <c r="B24" i="14"/>
  <c r="D24" i="14"/>
  <c r="A24" i="14"/>
  <c r="H23" i="14"/>
  <c r="D23" i="14"/>
  <c r="B23" i="14"/>
  <c r="A23" i="14"/>
  <c r="H46" i="14"/>
  <c r="B46" i="14"/>
  <c r="D46" i="14"/>
  <c r="A46" i="14"/>
  <c r="H45" i="14"/>
  <c r="D45" i="14"/>
  <c r="B45" i="14"/>
  <c r="A45" i="14"/>
  <c r="H44" i="14"/>
  <c r="B44" i="14"/>
  <c r="D44" i="14"/>
  <c r="A44" i="14"/>
  <c r="H43" i="14"/>
  <c r="D43" i="14"/>
  <c r="B43" i="14"/>
  <c r="A43" i="14"/>
  <c r="H42" i="14"/>
  <c r="B42" i="14"/>
  <c r="D42" i="14"/>
  <c r="A42" i="14"/>
  <c r="H41" i="14"/>
  <c r="D41" i="14"/>
  <c r="B41" i="14"/>
  <c r="A41" i="14"/>
  <c r="H40" i="14"/>
  <c r="B40" i="14"/>
  <c r="D40" i="14"/>
  <c r="A40" i="14"/>
  <c r="H22" i="14"/>
  <c r="D22" i="14"/>
  <c r="B22" i="14"/>
  <c r="A22" i="14"/>
  <c r="H21" i="14"/>
  <c r="B21" i="14"/>
  <c r="D21" i="14"/>
  <c r="A21" i="14"/>
  <c r="H20" i="14"/>
  <c r="D20" i="14"/>
  <c r="B20" i="14"/>
  <c r="A20" i="14"/>
  <c r="H19" i="14"/>
  <c r="B19" i="14"/>
  <c r="D19" i="14"/>
  <c r="A19" i="14"/>
  <c r="H18" i="14"/>
  <c r="D18" i="14"/>
  <c r="B18" i="14"/>
  <c r="A18" i="14"/>
  <c r="H17" i="14"/>
  <c r="B17" i="14"/>
  <c r="D17" i="14"/>
  <c r="A17" i="14"/>
  <c r="H16" i="14"/>
  <c r="D16" i="14"/>
  <c r="B16" i="14"/>
  <c r="A16" i="14"/>
  <c r="H15" i="14"/>
  <c r="B15" i="14"/>
  <c r="F15" i="14"/>
  <c r="D15" i="14"/>
  <c r="A15" i="14"/>
  <c r="H14" i="14"/>
  <c r="B14" i="14"/>
  <c r="F14" i="14"/>
  <c r="D14" i="14"/>
  <c r="A14" i="14"/>
  <c r="H13" i="14"/>
  <c r="F13" i="14"/>
  <c r="D13" i="14"/>
  <c r="B13" i="14"/>
  <c r="A13" i="14"/>
  <c r="H12" i="14"/>
  <c r="B12" i="14"/>
  <c r="F12" i="14"/>
  <c r="D12" i="14"/>
  <c r="A12" i="14"/>
  <c r="H11" i="14"/>
  <c r="F11" i="14"/>
  <c r="D11" i="14"/>
  <c r="B11" i="14"/>
  <c r="A11" i="14"/>
  <c r="E73" i="1"/>
  <c r="F73" i="1"/>
  <c r="P17" i="1"/>
  <c r="P13" i="1"/>
  <c r="P14" i="1"/>
  <c r="P15" i="1"/>
  <c r="P11" i="1"/>
  <c r="D11" i="1"/>
  <c r="D12" i="1"/>
  <c r="D13" i="1"/>
  <c r="G73" i="1"/>
  <c r="E87" i="1"/>
  <c r="F87" i="1"/>
  <c r="G87" i="1"/>
  <c r="I87" i="1"/>
  <c r="E88" i="1"/>
  <c r="F88" i="1"/>
  <c r="G88" i="1"/>
  <c r="I88" i="1"/>
  <c r="E89" i="1"/>
  <c r="F89" i="1"/>
  <c r="E90" i="1"/>
  <c r="F90" i="1"/>
  <c r="G90" i="1"/>
  <c r="E82" i="1"/>
  <c r="F82" i="1"/>
  <c r="E83" i="1"/>
  <c r="F83" i="1"/>
  <c r="G83" i="1"/>
  <c r="I83" i="1"/>
  <c r="E84" i="1"/>
  <c r="F84" i="1"/>
  <c r="E85" i="1"/>
  <c r="F85" i="1"/>
  <c r="G85" i="1"/>
  <c r="I85" i="1"/>
  <c r="E86" i="1"/>
  <c r="F86" i="1"/>
  <c r="G86" i="1"/>
  <c r="I86" i="1"/>
  <c r="G89" i="1"/>
  <c r="I89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J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G82" i="1"/>
  <c r="I82" i="1"/>
  <c r="G84" i="1"/>
  <c r="I84" i="1"/>
  <c r="I90" i="1"/>
  <c r="E61" i="1"/>
  <c r="F61" i="1"/>
  <c r="G61" i="1"/>
  <c r="J6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E21" i="1"/>
  <c r="F21" i="1"/>
  <c r="G21" i="1"/>
  <c r="H21" i="1"/>
  <c r="G4" i="1"/>
  <c r="F4" i="1"/>
  <c r="Q51" i="1"/>
  <c r="Q60" i="1"/>
  <c r="Q79" i="1"/>
  <c r="E21" i="2"/>
  <c r="G21" i="2"/>
  <c r="E22" i="2"/>
  <c r="K22" i="2"/>
  <c r="E23" i="2"/>
  <c r="G23" i="2"/>
  <c r="E24" i="2"/>
  <c r="G24" i="2"/>
  <c r="E25" i="2"/>
  <c r="G25" i="2"/>
  <c r="E26" i="2"/>
  <c r="L26" i="2"/>
  <c r="G26" i="2"/>
  <c r="E27" i="2"/>
  <c r="G27" i="2"/>
  <c r="E28" i="2"/>
  <c r="G28" i="2"/>
  <c r="E29" i="2"/>
  <c r="G29" i="2"/>
  <c r="E30" i="2"/>
  <c r="K30" i="2"/>
  <c r="E31" i="2"/>
  <c r="G31" i="2"/>
  <c r="E32" i="2"/>
  <c r="G32" i="2"/>
  <c r="E33" i="2"/>
  <c r="G33" i="2"/>
  <c r="E34" i="2"/>
  <c r="L34" i="2"/>
  <c r="E35" i="2"/>
  <c r="G35" i="2"/>
  <c r="E36" i="2"/>
  <c r="G36" i="2"/>
  <c r="E37" i="2"/>
  <c r="G37" i="2"/>
  <c r="E38" i="2"/>
  <c r="K38" i="2"/>
  <c r="E39" i="2"/>
  <c r="G39" i="2"/>
  <c r="E40" i="2"/>
  <c r="G40" i="2"/>
  <c r="E41" i="2"/>
  <c r="G41" i="2"/>
  <c r="E42" i="2"/>
  <c r="E43" i="2"/>
  <c r="G43" i="2"/>
  <c r="E44" i="2"/>
  <c r="G44" i="2"/>
  <c r="E45" i="2"/>
  <c r="G45" i="2"/>
  <c r="E46" i="2"/>
  <c r="K46" i="2"/>
  <c r="G46" i="2"/>
  <c r="E47" i="2"/>
  <c r="G47" i="2"/>
  <c r="E48" i="2"/>
  <c r="G48" i="2"/>
  <c r="E49" i="2"/>
  <c r="G49" i="2"/>
  <c r="E50" i="2"/>
  <c r="L50" i="2"/>
  <c r="G50" i="2"/>
  <c r="E51" i="2"/>
  <c r="G51" i="2"/>
  <c r="E52" i="2"/>
  <c r="G52" i="2"/>
  <c r="E53" i="2"/>
  <c r="G53" i="2"/>
  <c r="E54" i="2"/>
  <c r="K54" i="2"/>
  <c r="E55" i="2"/>
  <c r="G55" i="2"/>
  <c r="E56" i="2"/>
  <c r="G56" i="2"/>
  <c r="E57" i="2"/>
  <c r="G57" i="2"/>
  <c r="E58" i="2"/>
  <c r="L58" i="2"/>
  <c r="G58" i="2"/>
  <c r="E59" i="2"/>
  <c r="G59" i="2"/>
  <c r="E60" i="2"/>
  <c r="G60" i="2"/>
  <c r="E61" i="2"/>
  <c r="G61" i="2"/>
  <c r="E62" i="2"/>
  <c r="K62" i="2"/>
  <c r="E63" i="2"/>
  <c r="G63" i="2"/>
  <c r="E64" i="2"/>
  <c r="G64" i="2"/>
  <c r="E65" i="2"/>
  <c r="G65" i="2"/>
  <c r="E66" i="2"/>
  <c r="L66" i="2"/>
  <c r="E67" i="2"/>
  <c r="G67" i="2"/>
  <c r="E68" i="2"/>
  <c r="G68" i="2"/>
  <c r="E69" i="2"/>
  <c r="G69" i="2"/>
  <c r="E70" i="2"/>
  <c r="K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L82" i="2"/>
  <c r="G82" i="2"/>
  <c r="E83" i="2"/>
  <c r="G83" i="2"/>
  <c r="E84" i="2"/>
  <c r="G84" i="2"/>
  <c r="E85" i="2"/>
  <c r="G85" i="2"/>
  <c r="E86" i="2"/>
  <c r="K86" i="2"/>
  <c r="E87" i="2"/>
  <c r="G87" i="2"/>
  <c r="E88" i="2"/>
  <c r="G88" i="2"/>
  <c r="E89" i="2"/>
  <c r="G89" i="2"/>
  <c r="E90" i="2"/>
  <c r="L90" i="2"/>
  <c r="G90" i="2"/>
  <c r="E91" i="2"/>
  <c r="G91" i="2"/>
  <c r="D22" i="2"/>
  <c r="H22" i="2"/>
  <c r="D23" i="2"/>
  <c r="H23" i="2"/>
  <c r="D24" i="2"/>
  <c r="H24" i="2"/>
  <c r="D25" i="2"/>
  <c r="F25" i="2"/>
  <c r="H25" i="2"/>
  <c r="D26" i="2"/>
  <c r="H26" i="2"/>
  <c r="D27" i="2"/>
  <c r="H27" i="2"/>
  <c r="D28" i="2"/>
  <c r="H28" i="2"/>
  <c r="D29" i="2"/>
  <c r="J29" i="2"/>
  <c r="H29" i="2"/>
  <c r="D30" i="2"/>
  <c r="H30" i="2"/>
  <c r="D31" i="2"/>
  <c r="H31" i="2"/>
  <c r="D32" i="2"/>
  <c r="H32" i="2"/>
  <c r="D33" i="2"/>
  <c r="F33" i="2"/>
  <c r="H33" i="2"/>
  <c r="D34" i="2"/>
  <c r="H34" i="2"/>
  <c r="D35" i="2"/>
  <c r="H35" i="2"/>
  <c r="D36" i="2"/>
  <c r="D37" i="2"/>
  <c r="J37" i="2"/>
  <c r="H37" i="2"/>
  <c r="D38" i="2"/>
  <c r="H38" i="2"/>
  <c r="D39" i="2"/>
  <c r="H39" i="2"/>
  <c r="D40" i="2"/>
  <c r="H40" i="2"/>
  <c r="D41" i="2"/>
  <c r="F41" i="2"/>
  <c r="H41" i="2"/>
  <c r="D42" i="2"/>
  <c r="H42" i="2"/>
  <c r="D43" i="2"/>
  <c r="H43" i="2"/>
  <c r="D44" i="2"/>
  <c r="H44" i="2"/>
  <c r="D45" i="2"/>
  <c r="J45" i="2"/>
  <c r="H45" i="2"/>
  <c r="D46" i="2"/>
  <c r="H46" i="2"/>
  <c r="D47" i="2"/>
  <c r="H47" i="2"/>
  <c r="D48" i="2"/>
  <c r="H48" i="2"/>
  <c r="D49" i="2"/>
  <c r="F49" i="2"/>
  <c r="H49" i="2"/>
  <c r="D50" i="2"/>
  <c r="H50" i="2"/>
  <c r="D51" i="2"/>
  <c r="H51" i="2"/>
  <c r="D52" i="2"/>
  <c r="F52" i="2"/>
  <c r="H52" i="2"/>
  <c r="D53" i="2"/>
  <c r="J53" i="2"/>
  <c r="H53" i="2"/>
  <c r="D54" i="2"/>
  <c r="H54" i="2"/>
  <c r="D55" i="2"/>
  <c r="H55" i="2"/>
  <c r="D56" i="2"/>
  <c r="H56" i="2"/>
  <c r="D57" i="2"/>
  <c r="F57" i="2"/>
  <c r="H57" i="2"/>
  <c r="D58" i="2"/>
  <c r="H58" i="2"/>
  <c r="D59" i="2"/>
  <c r="H59" i="2"/>
  <c r="D60" i="2"/>
  <c r="H60" i="2"/>
  <c r="D61" i="2"/>
  <c r="J61" i="2"/>
  <c r="H61" i="2"/>
  <c r="D62" i="2"/>
  <c r="H62" i="2"/>
  <c r="D63" i="2"/>
  <c r="H63" i="2"/>
  <c r="D64" i="2"/>
  <c r="H64" i="2"/>
  <c r="D65" i="2"/>
  <c r="F65" i="2"/>
  <c r="H65" i="2"/>
  <c r="D66" i="2"/>
  <c r="H66" i="2"/>
  <c r="D67" i="2"/>
  <c r="H67" i="2"/>
  <c r="D68" i="2"/>
  <c r="D69" i="2"/>
  <c r="J69" i="2"/>
  <c r="H69" i="2"/>
  <c r="D70" i="2"/>
  <c r="H70" i="2"/>
  <c r="D71" i="2"/>
  <c r="H71" i="2"/>
  <c r="D72" i="2"/>
  <c r="H72" i="2"/>
  <c r="D73" i="2"/>
  <c r="F73" i="2"/>
  <c r="H73" i="2"/>
  <c r="D74" i="2"/>
  <c r="H74" i="2"/>
  <c r="D75" i="2"/>
  <c r="H75" i="2"/>
  <c r="D76" i="2"/>
  <c r="H76" i="2"/>
  <c r="D77" i="2"/>
  <c r="J77" i="2"/>
  <c r="H77" i="2"/>
  <c r="D78" i="2"/>
  <c r="H78" i="2"/>
  <c r="D79" i="2"/>
  <c r="H79" i="2"/>
  <c r="D80" i="2"/>
  <c r="H80" i="2"/>
  <c r="D81" i="2"/>
  <c r="F81" i="2"/>
  <c r="H81" i="2"/>
  <c r="D82" i="2"/>
  <c r="H82" i="2"/>
  <c r="D83" i="2"/>
  <c r="H83" i="2"/>
  <c r="D84" i="2"/>
  <c r="F84" i="2"/>
  <c r="H84" i="2"/>
  <c r="D85" i="2"/>
  <c r="J85" i="2"/>
  <c r="H85" i="2"/>
  <c r="D86" i="2"/>
  <c r="H86" i="2"/>
  <c r="D87" i="2"/>
  <c r="H87" i="2"/>
  <c r="D88" i="2"/>
  <c r="H88" i="2"/>
  <c r="D89" i="2"/>
  <c r="F89" i="2"/>
  <c r="H89" i="2"/>
  <c r="D90" i="2"/>
  <c r="H90" i="2"/>
  <c r="D91" i="2"/>
  <c r="H91" i="2"/>
  <c r="J22" i="2"/>
  <c r="J23" i="2"/>
  <c r="J25" i="2"/>
  <c r="J26" i="2"/>
  <c r="J27" i="2"/>
  <c r="J30" i="2"/>
  <c r="J31" i="2"/>
  <c r="J33" i="2"/>
  <c r="J34" i="2"/>
  <c r="J35" i="2"/>
  <c r="J38" i="2"/>
  <c r="J39" i="2"/>
  <c r="J41" i="2"/>
  <c r="J42" i="2"/>
  <c r="J43" i="2"/>
  <c r="J46" i="2"/>
  <c r="J47" i="2"/>
  <c r="J49" i="2"/>
  <c r="J50" i="2"/>
  <c r="J51" i="2"/>
  <c r="J54" i="2"/>
  <c r="J55" i="2"/>
  <c r="J57" i="2"/>
  <c r="J58" i="2"/>
  <c r="J59" i="2"/>
  <c r="J62" i="2"/>
  <c r="J63" i="2"/>
  <c r="J65" i="2"/>
  <c r="J66" i="2"/>
  <c r="J67" i="2"/>
  <c r="J70" i="2"/>
  <c r="J71" i="2"/>
  <c r="J73" i="2"/>
  <c r="J74" i="2"/>
  <c r="J75" i="2"/>
  <c r="J78" i="2"/>
  <c r="J79" i="2"/>
  <c r="J81" i="2"/>
  <c r="J82" i="2"/>
  <c r="J83" i="2"/>
  <c r="J86" i="2"/>
  <c r="J87" i="2"/>
  <c r="J89" i="2"/>
  <c r="J90" i="2"/>
  <c r="J9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5" i="2"/>
  <c r="I46" i="2"/>
  <c r="I47" i="2"/>
  <c r="I49" i="2"/>
  <c r="I50" i="2"/>
  <c r="I51" i="2"/>
  <c r="I53" i="2"/>
  <c r="I54" i="2"/>
  <c r="I55" i="2"/>
  <c r="I56" i="2"/>
  <c r="I57" i="2"/>
  <c r="I58" i="2"/>
  <c r="I59" i="2"/>
  <c r="I61" i="2"/>
  <c r="I62" i="2"/>
  <c r="I63" i="2"/>
  <c r="I65" i="2"/>
  <c r="I66" i="2"/>
  <c r="I67" i="2"/>
  <c r="I69" i="2"/>
  <c r="I70" i="2"/>
  <c r="I71" i="2"/>
  <c r="I72" i="2"/>
  <c r="I73" i="2"/>
  <c r="I74" i="2"/>
  <c r="I75" i="2"/>
  <c r="I77" i="2"/>
  <c r="I78" i="2"/>
  <c r="I79" i="2"/>
  <c r="I81" i="2"/>
  <c r="I82" i="2"/>
  <c r="I83" i="2"/>
  <c r="I85" i="2"/>
  <c r="I86" i="2"/>
  <c r="I87" i="2"/>
  <c r="I88" i="2"/>
  <c r="I89" i="2"/>
  <c r="I90" i="2"/>
  <c r="I91" i="2"/>
  <c r="K23" i="2"/>
  <c r="K27" i="2"/>
  <c r="K29" i="2"/>
  <c r="K31" i="2"/>
  <c r="K34" i="2"/>
  <c r="K35" i="2"/>
  <c r="K37" i="2"/>
  <c r="K39" i="2"/>
  <c r="K43" i="2"/>
  <c r="K45" i="2"/>
  <c r="K47" i="2"/>
  <c r="K50" i="2"/>
  <c r="K51" i="2"/>
  <c r="K53" i="2"/>
  <c r="K55" i="2"/>
  <c r="K59" i="2"/>
  <c r="K61" i="2"/>
  <c r="K63" i="2"/>
  <c r="K66" i="2"/>
  <c r="K67" i="2"/>
  <c r="K69" i="2"/>
  <c r="K71" i="2"/>
  <c r="K75" i="2"/>
  <c r="K77" i="2"/>
  <c r="K79" i="2"/>
  <c r="K82" i="2"/>
  <c r="K83" i="2"/>
  <c r="K85" i="2"/>
  <c r="K87" i="2"/>
  <c r="K91" i="2"/>
  <c r="F22" i="2"/>
  <c r="F23" i="2"/>
  <c r="F26" i="2"/>
  <c r="F27" i="2"/>
  <c r="F29" i="2"/>
  <c r="F30" i="2"/>
  <c r="F31" i="2"/>
  <c r="F34" i="2"/>
  <c r="F35" i="2"/>
  <c r="F37" i="2"/>
  <c r="F38" i="2"/>
  <c r="F39" i="2"/>
  <c r="F42" i="2"/>
  <c r="F43" i="2"/>
  <c r="F44" i="2"/>
  <c r="F45" i="2"/>
  <c r="F46" i="2"/>
  <c r="F47" i="2"/>
  <c r="F50" i="2"/>
  <c r="F51" i="2"/>
  <c r="F53" i="2"/>
  <c r="F54" i="2"/>
  <c r="F55" i="2"/>
  <c r="F58" i="2"/>
  <c r="F59" i="2"/>
  <c r="F61" i="2"/>
  <c r="F62" i="2"/>
  <c r="F63" i="2"/>
  <c r="F66" i="2"/>
  <c r="F67" i="2"/>
  <c r="F69" i="2"/>
  <c r="F70" i="2"/>
  <c r="F71" i="2"/>
  <c r="F74" i="2"/>
  <c r="F75" i="2"/>
  <c r="F76" i="2"/>
  <c r="F77" i="2"/>
  <c r="F78" i="2"/>
  <c r="F79" i="2"/>
  <c r="F82" i="2"/>
  <c r="F83" i="2"/>
  <c r="F85" i="2"/>
  <c r="F86" i="2"/>
  <c r="F87" i="2"/>
  <c r="F90" i="2"/>
  <c r="F91" i="2"/>
  <c r="L23" i="2"/>
  <c r="L25" i="2"/>
  <c r="L27" i="2"/>
  <c r="L29" i="2"/>
  <c r="L30" i="2"/>
  <c r="L31" i="2"/>
  <c r="L33" i="2"/>
  <c r="L35" i="2"/>
  <c r="L37" i="2"/>
  <c r="L39" i="2"/>
  <c r="L41" i="2"/>
  <c r="L43" i="2"/>
  <c r="L45" i="2"/>
  <c r="L46" i="2"/>
  <c r="L47" i="2"/>
  <c r="L49" i="2"/>
  <c r="L51" i="2"/>
  <c r="L53" i="2"/>
  <c r="L54" i="2"/>
  <c r="L55" i="2"/>
  <c r="L57" i="2"/>
  <c r="L59" i="2"/>
  <c r="L61" i="2"/>
  <c r="L62" i="2"/>
  <c r="L63" i="2"/>
  <c r="L65" i="2"/>
  <c r="L67" i="2"/>
  <c r="L69" i="2"/>
  <c r="L71" i="2"/>
  <c r="L73" i="2"/>
  <c r="L75" i="2"/>
  <c r="L77" i="2"/>
  <c r="L78" i="2"/>
  <c r="L79" i="2"/>
  <c r="L81" i="2"/>
  <c r="L83" i="2"/>
  <c r="L85" i="2"/>
  <c r="L87" i="2"/>
  <c r="L89" i="2"/>
  <c r="L91" i="2"/>
  <c r="W2" i="13"/>
  <c r="W3" i="13"/>
  <c r="W4" i="13"/>
  <c r="W5" i="13"/>
  <c r="W6" i="13"/>
  <c r="W7" i="13"/>
  <c r="W8" i="13"/>
  <c r="W9" i="13"/>
  <c r="W10" i="13"/>
  <c r="W11" i="13"/>
  <c r="W12" i="13"/>
  <c r="W13" i="13"/>
  <c r="P21" i="13"/>
  <c r="R21" i="13" s="1"/>
  <c r="T21" i="13" s="1"/>
  <c r="G21" i="13"/>
  <c r="I21" i="13"/>
  <c r="P22" i="13"/>
  <c r="P25" i="13"/>
  <c r="R25" i="13" s="1"/>
  <c r="T25" i="13" s="1"/>
  <c r="G25" i="13"/>
  <c r="I25" i="13"/>
  <c r="R53" i="13"/>
  <c r="T53" i="13" s="1"/>
  <c r="R86" i="13"/>
  <c r="T86" i="13"/>
  <c r="W14" i="13"/>
  <c r="W15" i="13"/>
  <c r="W16" i="13"/>
  <c r="C17" i="13"/>
  <c r="W17" i="13"/>
  <c r="W18" i="13"/>
  <c r="W19" i="13"/>
  <c r="W20" i="13"/>
  <c r="Q21" i="13"/>
  <c r="E41" i="3"/>
  <c r="U21" i="16"/>
  <c r="Q22" i="13"/>
  <c r="E42" i="3"/>
  <c r="U22" i="16"/>
  <c r="Q23" i="13"/>
  <c r="E43" i="3"/>
  <c r="U23" i="16"/>
  <c r="Q24" i="13"/>
  <c r="E44" i="3"/>
  <c r="U24" i="16"/>
  <c r="Q25" i="13"/>
  <c r="E45" i="3"/>
  <c r="U25" i="16"/>
  <c r="Q26" i="13"/>
  <c r="E46" i="3"/>
  <c r="U26" i="16"/>
  <c r="Q27" i="13"/>
  <c r="E47" i="3"/>
  <c r="U27" i="16"/>
  <c r="Q28" i="13"/>
  <c r="E48" i="3"/>
  <c r="U28" i="16"/>
  <c r="Q29" i="13"/>
  <c r="E49" i="3"/>
  <c r="U29" i="16"/>
  <c r="Q30" i="13"/>
  <c r="E50" i="3"/>
  <c r="U30" i="16"/>
  <c r="Q31" i="13"/>
  <c r="E51" i="3"/>
  <c r="U31" i="16"/>
  <c r="Q32" i="13"/>
  <c r="E52" i="3"/>
  <c r="U32" i="16"/>
  <c r="Q33" i="13"/>
  <c r="E53" i="3"/>
  <c r="U33" i="16"/>
  <c r="Q34" i="13"/>
  <c r="E54" i="3"/>
  <c r="Q35" i="13"/>
  <c r="E55" i="3"/>
  <c r="U35" i="16"/>
  <c r="Q36" i="13"/>
  <c r="E56" i="3"/>
  <c r="U36" i="16"/>
  <c r="Q37" i="13"/>
  <c r="E57" i="3"/>
  <c r="U37" i="16"/>
  <c r="Q38" i="13"/>
  <c r="E58" i="3"/>
  <c r="U38" i="16"/>
  <c r="Q39" i="13"/>
  <c r="E59" i="3"/>
  <c r="U39" i="16"/>
  <c r="Q40" i="13"/>
  <c r="E60" i="3"/>
  <c r="Q41" i="13"/>
  <c r="Q42" i="13"/>
  <c r="E61" i="3"/>
  <c r="U42" i="16"/>
  <c r="Q43" i="13"/>
  <c r="E62" i="3"/>
  <c r="U43" i="16"/>
  <c r="Q44" i="13"/>
  <c r="E63" i="3"/>
  <c r="U44" i="16"/>
  <c r="E65" i="3"/>
  <c r="U46" i="16"/>
  <c r="Q50" i="13"/>
  <c r="E67" i="3"/>
  <c r="U48" i="16"/>
  <c r="H53" i="13"/>
  <c r="Q53" i="13"/>
  <c r="E68" i="3"/>
  <c r="U49" i="16"/>
  <c r="Q54" i="13"/>
  <c r="E69" i="3"/>
  <c r="U50" i="16"/>
  <c r="Q55" i="13"/>
  <c r="E70" i="3"/>
  <c r="U51" i="16"/>
  <c r="Q56" i="13"/>
  <c r="E71" i="3"/>
  <c r="U52" i="16"/>
  <c r="Q57" i="13"/>
  <c r="E72" i="3"/>
  <c r="U53" i="16"/>
  <c r="Q58" i="13"/>
  <c r="E73" i="3"/>
  <c r="U54" i="16"/>
  <c r="Q59" i="13"/>
  <c r="E74" i="3"/>
  <c r="U55" i="16"/>
  <c r="Q60" i="13"/>
  <c r="E75" i="3"/>
  <c r="U56" i="16"/>
  <c r="Q61" i="13"/>
  <c r="E76" i="3"/>
  <c r="U57" i="16"/>
  <c r="K62" i="13"/>
  <c r="Q62" i="13"/>
  <c r="E77" i="3"/>
  <c r="U58" i="16"/>
  <c r="Q63" i="13"/>
  <c r="E78" i="3"/>
  <c r="U59" i="16"/>
  <c r="K64" i="13"/>
  <c r="Q64" i="13"/>
  <c r="E79" i="3"/>
  <c r="U60" i="16"/>
  <c r="Q67" i="13"/>
  <c r="E80" i="3"/>
  <c r="U61" i="16"/>
  <c r="Q68" i="13"/>
  <c r="E81" i="3"/>
  <c r="U62" i="16"/>
  <c r="Q69" i="13"/>
  <c r="E82" i="3"/>
  <c r="U63" i="16"/>
  <c r="K70" i="13"/>
  <c r="Q70" i="13"/>
  <c r="E83" i="3"/>
  <c r="U64" i="16"/>
  <c r="Q71" i="13"/>
  <c r="E84" i="3"/>
  <c r="U65" i="16"/>
  <c r="Q72" i="13"/>
  <c r="E85" i="3"/>
  <c r="U66" i="16"/>
  <c r="Q73" i="13"/>
  <c r="E86" i="3"/>
  <c r="U67" i="16"/>
  <c r="Q74" i="13"/>
  <c r="E87" i="3"/>
  <c r="U68" i="16"/>
  <c r="Q75" i="13"/>
  <c r="E88" i="3"/>
  <c r="U69" i="16"/>
  <c r="Q76" i="13"/>
  <c r="E89" i="3"/>
  <c r="U70" i="16"/>
  <c r="Q77" i="13"/>
  <c r="E90" i="3"/>
  <c r="U71" i="16"/>
  <c r="Q80" i="13"/>
  <c r="E91" i="3"/>
  <c r="U72" i="16"/>
  <c r="Q81" i="13"/>
  <c r="Q82" i="13"/>
  <c r="Q83" i="13"/>
  <c r="Q85" i="13"/>
  <c r="Q86" i="13"/>
  <c r="Q87" i="13"/>
  <c r="Q88" i="13"/>
  <c r="E98" i="3"/>
  <c r="Q89" i="13"/>
  <c r="Q90" i="13"/>
  <c r="E99" i="3"/>
  <c r="Q91" i="13"/>
  <c r="Q94" i="13"/>
  <c r="Q97" i="13"/>
  <c r="E102" i="3"/>
  <c r="Q100" i="13"/>
  <c r="E104" i="3"/>
  <c r="Q101" i="13"/>
  <c r="E105" i="3"/>
  <c r="Q102" i="13"/>
  <c r="E106" i="3"/>
  <c r="Q103" i="13"/>
  <c r="E107" i="3"/>
  <c r="G16" i="8"/>
  <c r="G15" i="8"/>
  <c r="G12" i="8"/>
  <c r="E21" i="8"/>
  <c r="G21" i="8"/>
  <c r="E22" i="8"/>
  <c r="G22" i="8"/>
  <c r="E23" i="8"/>
  <c r="E24" i="8"/>
  <c r="G24" i="8"/>
  <c r="E25" i="8"/>
  <c r="G25" i="8"/>
  <c r="E26" i="8"/>
  <c r="G26" i="8"/>
  <c r="E27" i="8"/>
  <c r="E28" i="8"/>
  <c r="E29" i="8"/>
  <c r="G29" i="8"/>
  <c r="E30" i="8"/>
  <c r="G30" i="8"/>
  <c r="E31" i="8"/>
  <c r="E32" i="8"/>
  <c r="G32" i="8"/>
  <c r="E33" i="8"/>
  <c r="G33" i="8"/>
  <c r="E34" i="8"/>
  <c r="G34" i="8"/>
  <c r="E35" i="8"/>
  <c r="E36" i="8"/>
  <c r="G36" i="8"/>
  <c r="E37" i="8"/>
  <c r="G37" i="8"/>
  <c r="E38" i="8"/>
  <c r="G38" i="8"/>
  <c r="E39" i="8"/>
  <c r="E40" i="8"/>
  <c r="G40" i="8"/>
  <c r="E41" i="8"/>
  <c r="G41" i="8"/>
  <c r="E42" i="8"/>
  <c r="G42" i="8"/>
  <c r="E43" i="8"/>
  <c r="E44" i="8"/>
  <c r="G44" i="8"/>
  <c r="E45" i="8"/>
  <c r="G45" i="8"/>
  <c r="E46" i="8"/>
  <c r="E47" i="8"/>
  <c r="E48" i="8"/>
  <c r="G48" i="8"/>
  <c r="E49" i="8"/>
  <c r="G49" i="8"/>
  <c r="E50" i="8"/>
  <c r="G50" i="8"/>
  <c r="E51" i="8"/>
  <c r="E52" i="8"/>
  <c r="G52" i="8"/>
  <c r="E53" i="8"/>
  <c r="G53" i="8"/>
  <c r="E54" i="8"/>
  <c r="G54" i="8"/>
  <c r="E55" i="8"/>
  <c r="E56" i="8"/>
  <c r="G56" i="8"/>
  <c r="E57" i="8"/>
  <c r="G57" i="8"/>
  <c r="E58" i="8"/>
  <c r="G58" i="8"/>
  <c r="E59" i="8"/>
  <c r="E60" i="8"/>
  <c r="E61" i="8"/>
  <c r="G61" i="8"/>
  <c r="E62" i="8"/>
  <c r="G62" i="8"/>
  <c r="E63" i="8"/>
  <c r="E64" i="8"/>
  <c r="G64" i="8"/>
  <c r="E65" i="8"/>
  <c r="G65" i="8"/>
  <c r="E66" i="8"/>
  <c r="G66" i="8"/>
  <c r="E67" i="8"/>
  <c r="E68" i="8"/>
  <c r="G68" i="8"/>
  <c r="E69" i="8"/>
  <c r="G69" i="8"/>
  <c r="E70" i="8"/>
  <c r="G70" i="8"/>
  <c r="E71" i="8"/>
  <c r="E72" i="8"/>
  <c r="G72" i="8"/>
  <c r="E73" i="8"/>
  <c r="G73" i="8"/>
  <c r="E74" i="8"/>
  <c r="G74" i="8"/>
  <c r="E75" i="8"/>
  <c r="E76" i="8"/>
  <c r="G76" i="8"/>
  <c r="E77" i="8"/>
  <c r="G77" i="8"/>
  <c r="E78" i="8"/>
  <c r="E79" i="8"/>
  <c r="E80" i="8"/>
  <c r="G80" i="8"/>
  <c r="E81" i="8"/>
  <c r="G81" i="8"/>
  <c r="E82" i="8"/>
  <c r="G82" i="8"/>
  <c r="E83" i="8"/>
  <c r="E84" i="8"/>
  <c r="G84" i="8"/>
  <c r="E85" i="8"/>
  <c r="G85" i="8"/>
  <c r="E86" i="8"/>
  <c r="G86" i="8"/>
  <c r="E87" i="8"/>
  <c r="E88" i="8"/>
  <c r="G88" i="8"/>
  <c r="E89" i="8"/>
  <c r="G89" i="8"/>
  <c r="E90" i="8"/>
  <c r="K90" i="8"/>
  <c r="E91" i="8"/>
  <c r="E92" i="8"/>
  <c r="E93" i="8"/>
  <c r="G93" i="8"/>
  <c r="E94" i="8"/>
  <c r="G94" i="8"/>
  <c r="E95" i="8"/>
  <c r="G95" i="8"/>
  <c r="E96" i="8"/>
  <c r="G96" i="8"/>
  <c r="E97" i="8"/>
  <c r="G97" i="8"/>
  <c r="E98" i="8"/>
  <c r="G98" i="8"/>
  <c r="E99" i="8"/>
  <c r="E100" i="8"/>
  <c r="G100" i="8"/>
  <c r="E101" i="8"/>
  <c r="G101" i="8"/>
  <c r="E102" i="8"/>
  <c r="G102" i="8"/>
  <c r="E103" i="8"/>
  <c r="G103" i="8"/>
  <c r="E104" i="8"/>
  <c r="L104" i="8"/>
  <c r="H16" i="8"/>
  <c r="H15" i="8"/>
  <c r="D85" i="8"/>
  <c r="I85" i="8"/>
  <c r="H85" i="8"/>
  <c r="D86" i="8"/>
  <c r="H86" i="8"/>
  <c r="D87" i="8"/>
  <c r="D88" i="8"/>
  <c r="I88" i="8"/>
  <c r="H88" i="8"/>
  <c r="D89" i="8"/>
  <c r="K89" i="8"/>
  <c r="D90" i="8"/>
  <c r="F90" i="8"/>
  <c r="H90" i="8"/>
  <c r="D91" i="8"/>
  <c r="H91" i="8"/>
  <c r="D92" i="8"/>
  <c r="H92" i="8"/>
  <c r="D93" i="8"/>
  <c r="D94" i="8"/>
  <c r="I94" i="8"/>
  <c r="H94" i="8"/>
  <c r="D95" i="8"/>
  <c r="F95" i="8"/>
  <c r="D96" i="8"/>
  <c r="I96" i="8"/>
  <c r="D97" i="8"/>
  <c r="K97" i="8"/>
  <c r="H97" i="8"/>
  <c r="D98" i="8"/>
  <c r="F98" i="8"/>
  <c r="D99" i="8"/>
  <c r="H99" i="8"/>
  <c r="D100" i="8"/>
  <c r="L100" i="8"/>
  <c r="H100" i="8"/>
  <c r="D101" i="8"/>
  <c r="H101" i="8"/>
  <c r="D102" i="8"/>
  <c r="D103" i="8"/>
  <c r="I103" i="8"/>
  <c r="D104" i="8"/>
  <c r="I104" i="8"/>
  <c r="J16" i="8"/>
  <c r="J15" i="8"/>
  <c r="J85" i="8"/>
  <c r="J86" i="8"/>
  <c r="J88" i="8"/>
  <c r="J90" i="8"/>
  <c r="J91" i="8"/>
  <c r="J92" i="8"/>
  <c r="J94" i="8"/>
  <c r="J96" i="8"/>
  <c r="J97" i="8"/>
  <c r="J100" i="8"/>
  <c r="J101" i="8"/>
  <c r="J104" i="8"/>
  <c r="I16" i="8"/>
  <c r="I15" i="8"/>
  <c r="I86" i="8"/>
  <c r="I87" i="8"/>
  <c r="I90" i="8"/>
  <c r="I91" i="8"/>
  <c r="I92" i="8"/>
  <c r="I95" i="8"/>
  <c r="I99" i="8"/>
  <c r="I100" i="8"/>
  <c r="I101" i="8"/>
  <c r="K16" i="8"/>
  <c r="K15" i="8"/>
  <c r="K85" i="8"/>
  <c r="K86" i="8"/>
  <c r="K91" i="8"/>
  <c r="K94" i="8"/>
  <c r="K95" i="8"/>
  <c r="K100" i="8"/>
  <c r="K101" i="8"/>
  <c r="K103" i="8"/>
  <c r="K104" i="8"/>
  <c r="F16" i="8"/>
  <c r="F15" i="8"/>
  <c r="F85" i="8"/>
  <c r="F86" i="8"/>
  <c r="F87" i="8"/>
  <c r="F88" i="8"/>
  <c r="F89" i="8"/>
  <c r="F92" i="8"/>
  <c r="F94" i="8"/>
  <c r="F97" i="8"/>
  <c r="F99" i="8"/>
  <c r="F100" i="8"/>
  <c r="F101" i="8"/>
  <c r="F103" i="8"/>
  <c r="L16" i="8"/>
  <c r="L15" i="8"/>
  <c r="L12" i="8"/>
  <c r="L85" i="8"/>
  <c r="L86" i="8"/>
  <c r="L94" i="8"/>
  <c r="L95" i="8"/>
  <c r="L97" i="8"/>
  <c r="L101" i="8"/>
  <c r="L102" i="8"/>
  <c r="L103" i="8"/>
  <c r="C16" i="8"/>
  <c r="C15" i="8"/>
  <c r="D13" i="5"/>
  <c r="W17" i="5"/>
  <c r="F27" i="5"/>
  <c r="F28" i="5"/>
  <c r="E37" i="5"/>
  <c r="F37" i="5"/>
  <c r="E38" i="5"/>
  <c r="F38" i="5"/>
  <c r="E39" i="5"/>
  <c r="F39" i="5"/>
  <c r="E40" i="5"/>
  <c r="F40" i="5"/>
  <c r="E41" i="5"/>
  <c r="F41" i="5"/>
  <c r="E36" i="5"/>
  <c r="F36" i="5"/>
  <c r="E34" i="5"/>
  <c r="F34" i="5"/>
  <c r="E35" i="5"/>
  <c r="F35" i="5"/>
  <c r="F33" i="5"/>
  <c r="F32" i="5"/>
  <c r="F31" i="5"/>
  <c r="F30" i="5"/>
  <c r="E26" i="5"/>
  <c r="F26" i="5"/>
  <c r="F25" i="5"/>
  <c r="F24" i="5"/>
  <c r="F22" i="5"/>
  <c r="F21" i="5"/>
  <c r="D11" i="12"/>
  <c r="W10" i="12" s="1"/>
  <c r="D12" i="12"/>
  <c r="D13" i="12"/>
  <c r="F4" i="12"/>
  <c r="G4" i="12"/>
  <c r="E47" i="12"/>
  <c r="F47" i="12"/>
  <c r="E48" i="12"/>
  <c r="F48" i="12"/>
  <c r="G48" i="12"/>
  <c r="E49" i="12"/>
  <c r="F49" i="12"/>
  <c r="E50" i="12"/>
  <c r="F50" i="12"/>
  <c r="G50" i="12"/>
  <c r="E51" i="12"/>
  <c r="F51" i="12"/>
  <c r="G51" i="12"/>
  <c r="N51" i="12"/>
  <c r="E52" i="12"/>
  <c r="F52" i="12"/>
  <c r="G52" i="12"/>
  <c r="E53" i="12"/>
  <c r="F53" i="12"/>
  <c r="G53" i="12"/>
  <c r="N53" i="12"/>
  <c r="E54" i="12"/>
  <c r="F54" i="12"/>
  <c r="G54" i="12"/>
  <c r="N54" i="12"/>
  <c r="E55" i="12"/>
  <c r="F55" i="12"/>
  <c r="E56" i="12"/>
  <c r="F56" i="12"/>
  <c r="G56" i="12"/>
  <c r="E57" i="12"/>
  <c r="F57" i="12"/>
  <c r="P57" i="12"/>
  <c r="G57" i="12"/>
  <c r="N57" i="12"/>
  <c r="E58" i="12"/>
  <c r="F58" i="12"/>
  <c r="G58" i="12"/>
  <c r="N58" i="12"/>
  <c r="E59" i="12"/>
  <c r="F59" i="12"/>
  <c r="G59" i="12"/>
  <c r="N59" i="12"/>
  <c r="E60" i="12"/>
  <c r="F60" i="12"/>
  <c r="G60" i="12"/>
  <c r="E61" i="12"/>
  <c r="F61" i="12"/>
  <c r="G61" i="12"/>
  <c r="N61" i="12"/>
  <c r="E62" i="12"/>
  <c r="F62" i="12"/>
  <c r="G62" i="12"/>
  <c r="N62" i="12"/>
  <c r="E63" i="12"/>
  <c r="F63" i="12"/>
  <c r="E64" i="12"/>
  <c r="F64" i="12"/>
  <c r="G64" i="12"/>
  <c r="E65" i="12"/>
  <c r="F65" i="12"/>
  <c r="P65" i="12"/>
  <c r="R65" i="12" s="1"/>
  <c r="T65" i="12" s="1"/>
  <c r="G65" i="12"/>
  <c r="K65" i="12"/>
  <c r="E66" i="12"/>
  <c r="F66" i="12"/>
  <c r="G66" i="12"/>
  <c r="E67" i="12"/>
  <c r="F67" i="12"/>
  <c r="E68" i="12"/>
  <c r="F68" i="12"/>
  <c r="G68" i="12"/>
  <c r="K68" i="12"/>
  <c r="E69" i="12"/>
  <c r="F69" i="12"/>
  <c r="G69" i="12"/>
  <c r="K69" i="12"/>
  <c r="E70" i="12"/>
  <c r="F70" i="12"/>
  <c r="G70" i="12"/>
  <c r="E71" i="12"/>
  <c r="F71" i="12"/>
  <c r="E72" i="12"/>
  <c r="F72" i="12"/>
  <c r="G72" i="12"/>
  <c r="E73" i="12"/>
  <c r="F73" i="12"/>
  <c r="P73" i="12"/>
  <c r="E74" i="12"/>
  <c r="F74" i="12"/>
  <c r="G74" i="12"/>
  <c r="E75" i="12"/>
  <c r="F75" i="12"/>
  <c r="G75" i="12"/>
  <c r="N75" i="12"/>
  <c r="E76" i="12"/>
  <c r="F76" i="12"/>
  <c r="G76" i="12"/>
  <c r="N76" i="12"/>
  <c r="E77" i="12"/>
  <c r="F77" i="12"/>
  <c r="G77" i="12"/>
  <c r="N77" i="12"/>
  <c r="E78" i="12"/>
  <c r="F78" i="12"/>
  <c r="G78" i="12"/>
  <c r="E79" i="12"/>
  <c r="F79" i="12"/>
  <c r="G79" i="12"/>
  <c r="N79" i="12"/>
  <c r="E80" i="12"/>
  <c r="F80" i="12"/>
  <c r="G80" i="12"/>
  <c r="E81" i="12"/>
  <c r="F81" i="12"/>
  <c r="P81" i="12"/>
  <c r="G81" i="12"/>
  <c r="N81" i="12"/>
  <c r="E82" i="12"/>
  <c r="F82" i="12"/>
  <c r="G82" i="12"/>
  <c r="E83" i="12"/>
  <c r="F83" i="12"/>
  <c r="G83" i="12"/>
  <c r="K83" i="12"/>
  <c r="E84" i="12"/>
  <c r="F84" i="12"/>
  <c r="G84" i="12"/>
  <c r="N84" i="12"/>
  <c r="E85" i="12"/>
  <c r="F85" i="12"/>
  <c r="G85" i="12"/>
  <c r="N85" i="12"/>
  <c r="E86" i="12"/>
  <c r="F86" i="12"/>
  <c r="G86" i="12"/>
  <c r="E87" i="12"/>
  <c r="F87" i="12"/>
  <c r="G87" i="12"/>
  <c r="N87" i="12"/>
  <c r="W11" i="12"/>
  <c r="W13" i="12"/>
  <c r="E21" i="12"/>
  <c r="F21" i="12"/>
  <c r="E22" i="12"/>
  <c r="F22" i="12"/>
  <c r="G22" i="12"/>
  <c r="I22" i="12"/>
  <c r="P22" i="12"/>
  <c r="R22" i="12" s="1"/>
  <c r="T22" i="12" s="1"/>
  <c r="E23" i="12"/>
  <c r="F23" i="12"/>
  <c r="G23" i="12"/>
  <c r="I23" i="12"/>
  <c r="E24" i="12"/>
  <c r="F24" i="12"/>
  <c r="E25" i="12"/>
  <c r="F25" i="12"/>
  <c r="E26" i="12"/>
  <c r="F26" i="12"/>
  <c r="G26" i="12"/>
  <c r="N26" i="12"/>
  <c r="E27" i="12"/>
  <c r="F27" i="12"/>
  <c r="G27" i="12"/>
  <c r="N27" i="12"/>
  <c r="E28" i="12"/>
  <c r="F28" i="12"/>
  <c r="E29" i="12"/>
  <c r="F29" i="12"/>
  <c r="E30" i="12"/>
  <c r="F30" i="12"/>
  <c r="G30" i="12"/>
  <c r="P30" i="12"/>
  <c r="R30" i="12" s="1"/>
  <c r="T30" i="12" s="1"/>
  <c r="E31" i="12"/>
  <c r="F31" i="12"/>
  <c r="G31" i="12"/>
  <c r="J31" i="12"/>
  <c r="E32" i="12"/>
  <c r="F32" i="12"/>
  <c r="E33" i="12"/>
  <c r="F33" i="12"/>
  <c r="E34" i="12"/>
  <c r="F34" i="12"/>
  <c r="G34" i="12"/>
  <c r="I34" i="12"/>
  <c r="P34" i="12"/>
  <c r="R34" i="12" s="1"/>
  <c r="T34" i="12" s="1"/>
  <c r="E35" i="12"/>
  <c r="F35" i="12"/>
  <c r="G35" i="12"/>
  <c r="K35" i="12"/>
  <c r="E36" i="12"/>
  <c r="F36" i="12"/>
  <c r="E37" i="12"/>
  <c r="F37" i="12"/>
  <c r="E38" i="12"/>
  <c r="F38" i="12"/>
  <c r="G38" i="12"/>
  <c r="K38" i="12"/>
  <c r="P38" i="12"/>
  <c r="R38" i="12" s="1"/>
  <c r="T38" i="12" s="1"/>
  <c r="E39" i="12"/>
  <c r="F39" i="12"/>
  <c r="G39" i="12"/>
  <c r="K39" i="12"/>
  <c r="E40" i="12"/>
  <c r="F40" i="12"/>
  <c r="E41" i="12"/>
  <c r="F41" i="12"/>
  <c r="E42" i="12"/>
  <c r="F42" i="12"/>
  <c r="G42" i="12"/>
  <c r="K42" i="12"/>
  <c r="P42" i="12"/>
  <c r="R42" i="12" s="1"/>
  <c r="T42" i="12" s="1"/>
  <c r="E43" i="12"/>
  <c r="F43" i="12"/>
  <c r="G43" i="12"/>
  <c r="L43" i="12"/>
  <c r="E44" i="12"/>
  <c r="F44" i="12"/>
  <c r="E45" i="12"/>
  <c r="F45" i="12"/>
  <c r="E46" i="12"/>
  <c r="F46" i="12"/>
  <c r="P48" i="12"/>
  <c r="R48" i="12" s="1"/>
  <c r="T48" i="12" s="1"/>
  <c r="P51" i="12"/>
  <c r="R51" i="12"/>
  <c r="T51" i="12" s="1"/>
  <c r="P56" i="12"/>
  <c r="R56" i="12" s="1"/>
  <c r="T56" i="12" s="1"/>
  <c r="P59" i="12"/>
  <c r="R59" i="12" s="1"/>
  <c r="T59" i="12" s="1"/>
  <c r="P64" i="12"/>
  <c r="R64" i="12" s="1"/>
  <c r="T64" i="12" s="1"/>
  <c r="P72" i="12"/>
  <c r="R72" i="12" s="1"/>
  <c r="T72" i="12" s="1"/>
  <c r="P75" i="12"/>
  <c r="R75" i="12" s="1"/>
  <c r="T75" i="12"/>
  <c r="P80" i="12"/>
  <c r="R80" i="12" s="1"/>
  <c r="T80" i="12" s="1"/>
  <c r="P83" i="12"/>
  <c r="R83" i="12" s="1"/>
  <c r="T83" i="12" s="1"/>
  <c r="P87" i="12"/>
  <c r="R87" i="12" s="1"/>
  <c r="T87" i="12" s="1"/>
  <c r="W14" i="12"/>
  <c r="C17" i="12"/>
  <c r="W17" i="12"/>
  <c r="Q21" i="12"/>
  <c r="U21" i="12"/>
  <c r="Q22" i="12"/>
  <c r="U22" i="12"/>
  <c r="Q23" i="12"/>
  <c r="U23" i="12"/>
  <c r="Q24" i="12"/>
  <c r="U24" i="12"/>
  <c r="Q25" i="12"/>
  <c r="U25" i="12"/>
  <c r="Q26" i="12"/>
  <c r="U26" i="12"/>
  <c r="Q27" i="12"/>
  <c r="U27" i="12"/>
  <c r="Q28" i="12"/>
  <c r="U28" i="12"/>
  <c r="Q29" i="12"/>
  <c r="U29" i="12"/>
  <c r="J30" i="12"/>
  <c r="Q30" i="12"/>
  <c r="U30" i="12"/>
  <c r="Q31" i="12"/>
  <c r="U31" i="12"/>
  <c r="Q32" i="12"/>
  <c r="U32" i="12"/>
  <c r="Q33" i="12"/>
  <c r="U33" i="12"/>
  <c r="Q34" i="12"/>
  <c r="U34" i="12"/>
  <c r="Q35" i="12"/>
  <c r="Q36" i="12"/>
  <c r="U36" i="12"/>
  <c r="Q37" i="12"/>
  <c r="U37" i="12"/>
  <c r="Q38" i="12"/>
  <c r="U38" i="12"/>
  <c r="Q39" i="12"/>
  <c r="U39" i="12"/>
  <c r="Q40" i="12"/>
  <c r="U40" i="12"/>
  <c r="Q41" i="12"/>
  <c r="U41" i="12"/>
  <c r="Q42" i="12"/>
  <c r="U42" i="12"/>
  <c r="Q43" i="12"/>
  <c r="U43" i="12"/>
  <c r="Q44" i="12"/>
  <c r="U44" i="12"/>
  <c r="Q45" i="12"/>
  <c r="U45" i="12"/>
  <c r="Q46" i="12"/>
  <c r="U46" i="12"/>
  <c r="Q47" i="12"/>
  <c r="U47" i="12"/>
  <c r="N48" i="12"/>
  <c r="Q48" i="12"/>
  <c r="U48" i="12"/>
  <c r="Q49" i="12"/>
  <c r="U49" i="12"/>
  <c r="N50" i="12"/>
  <c r="Q50" i="12"/>
  <c r="U50" i="12"/>
  <c r="Q51" i="12"/>
  <c r="U51" i="12"/>
  <c r="N52" i="12"/>
  <c r="Q52" i="12"/>
  <c r="U52" i="12"/>
  <c r="Q53" i="12"/>
  <c r="U53" i="12"/>
  <c r="Q54" i="12"/>
  <c r="U54" i="12"/>
  <c r="Q55" i="12"/>
  <c r="U55" i="12"/>
  <c r="N56" i="12"/>
  <c r="Q56" i="12"/>
  <c r="U56" i="12"/>
  <c r="Q57" i="12"/>
  <c r="U57" i="12"/>
  <c r="Q58" i="12"/>
  <c r="U58" i="12"/>
  <c r="Q59" i="12"/>
  <c r="U59" i="12"/>
  <c r="N60" i="12"/>
  <c r="Q60" i="12"/>
  <c r="U60" i="12"/>
  <c r="Q61" i="12"/>
  <c r="U61" i="12"/>
  <c r="Q62" i="12"/>
  <c r="U62" i="12"/>
  <c r="Q63" i="12"/>
  <c r="U63" i="12"/>
  <c r="N64" i="12"/>
  <c r="Q64" i="12"/>
  <c r="U64" i="12"/>
  <c r="Q65" i="12"/>
  <c r="U65" i="12"/>
  <c r="K66" i="12"/>
  <c r="Q66" i="12"/>
  <c r="U66" i="12"/>
  <c r="Q67" i="12"/>
  <c r="U67" i="12"/>
  <c r="Q68" i="12"/>
  <c r="U68" i="12"/>
  <c r="Q69" i="12"/>
  <c r="U69" i="12"/>
  <c r="N70" i="12"/>
  <c r="Q70" i="12"/>
  <c r="U70" i="12"/>
  <c r="Q71" i="12"/>
  <c r="U71" i="12"/>
  <c r="N72" i="12"/>
  <c r="Q72" i="12"/>
  <c r="U72" i="12"/>
  <c r="Q73" i="12"/>
  <c r="U73" i="12"/>
  <c r="N74" i="12"/>
  <c r="Q74" i="12"/>
  <c r="U74" i="12"/>
  <c r="Q75" i="12"/>
  <c r="U75" i="12"/>
  <c r="Q76" i="12"/>
  <c r="U76" i="12"/>
  <c r="Q77" i="12"/>
  <c r="U77" i="12"/>
  <c r="N78" i="12"/>
  <c r="Q78" i="12"/>
  <c r="U78" i="12"/>
  <c r="Q79" i="12"/>
  <c r="U79" i="12"/>
  <c r="K80" i="12"/>
  <c r="Q80" i="12"/>
  <c r="U80" i="12"/>
  <c r="Q81" i="12"/>
  <c r="U81" i="12"/>
  <c r="N82" i="12"/>
  <c r="Q82" i="12"/>
  <c r="U82" i="12"/>
  <c r="Q83" i="12"/>
  <c r="U83" i="12"/>
  <c r="Q84" i="12"/>
  <c r="U84" i="12"/>
  <c r="Q85" i="12"/>
  <c r="U85" i="12"/>
  <c r="N86" i="12"/>
  <c r="Q86" i="12"/>
  <c r="U86" i="12"/>
  <c r="Q87" i="12"/>
  <c r="U87" i="12"/>
  <c r="F107" i="3"/>
  <c r="O107" i="3"/>
  <c r="F106" i="3"/>
  <c r="G106" i="3"/>
  <c r="K106" i="3"/>
  <c r="F105" i="3"/>
  <c r="O105" i="3"/>
  <c r="F104" i="3"/>
  <c r="G104" i="3"/>
  <c r="Q91" i="3"/>
  <c r="Q92" i="3"/>
  <c r="Q93" i="3"/>
  <c r="Q94" i="3"/>
  <c r="Q95" i="3"/>
  <c r="Q96" i="3"/>
  <c r="Q97" i="3"/>
  <c r="Q98" i="3"/>
  <c r="Q99" i="3"/>
  <c r="Q100" i="3"/>
  <c r="Q101" i="3"/>
  <c r="Q102" i="3"/>
  <c r="Q67" i="3"/>
  <c r="Q69" i="3"/>
  <c r="Q71" i="3"/>
  <c r="Q72" i="3"/>
  <c r="Q80" i="3"/>
  <c r="Q81" i="3"/>
  <c r="Q90" i="3"/>
  <c r="Q103" i="3"/>
  <c r="Q104" i="3"/>
  <c r="Q105" i="3"/>
  <c r="Q106" i="3"/>
  <c r="Q107" i="3"/>
  <c r="Q108" i="3"/>
  <c r="G105" i="3"/>
  <c r="K105" i="3"/>
  <c r="O104" i="3"/>
  <c r="K104" i="3"/>
  <c r="F90" i="3"/>
  <c r="G90" i="3"/>
  <c r="K90" i="3"/>
  <c r="F81" i="3"/>
  <c r="G81" i="3"/>
  <c r="K81" i="3"/>
  <c r="F80" i="3"/>
  <c r="G80" i="3"/>
  <c r="K80" i="3"/>
  <c r="O80" i="3"/>
  <c r="F72" i="3"/>
  <c r="F71" i="3"/>
  <c r="G71" i="3"/>
  <c r="K71" i="3"/>
  <c r="F69" i="3"/>
  <c r="G69" i="3"/>
  <c r="O69" i="3"/>
  <c r="H69" i="3"/>
  <c r="F67" i="3"/>
  <c r="E64" i="3"/>
  <c r="E66" i="3"/>
  <c r="Q22" i="1"/>
  <c r="P23" i="1"/>
  <c r="R23" i="1" s="1"/>
  <c r="T23" i="1" s="1"/>
  <c r="Q23" i="1"/>
  <c r="Q24" i="1"/>
  <c r="P25" i="1"/>
  <c r="R25" i="1" s="1"/>
  <c r="T25" i="1" s="1"/>
  <c r="Q25" i="1"/>
  <c r="Q26" i="1"/>
  <c r="P27" i="1"/>
  <c r="R27" i="1" s="1"/>
  <c r="T27" i="1" s="1"/>
  <c r="Q27" i="1"/>
  <c r="Q28" i="1"/>
  <c r="E62" i="1"/>
  <c r="F62" i="1"/>
  <c r="G62" i="1"/>
  <c r="E63" i="1"/>
  <c r="F63" i="1"/>
  <c r="G63" i="1"/>
  <c r="E64" i="1"/>
  <c r="F64" i="1"/>
  <c r="G64" i="1"/>
  <c r="E65" i="1"/>
  <c r="F65" i="1"/>
  <c r="G65" i="1"/>
  <c r="E67" i="1"/>
  <c r="F67" i="1"/>
  <c r="G67" i="1"/>
  <c r="E68" i="1"/>
  <c r="F68" i="1"/>
  <c r="G68" i="1"/>
  <c r="U2" i="3"/>
  <c r="U3" i="3"/>
  <c r="F4" i="3"/>
  <c r="G4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F41" i="3"/>
  <c r="P41" i="3"/>
  <c r="G41" i="3"/>
  <c r="F42" i="3"/>
  <c r="P42" i="3"/>
  <c r="G42" i="3"/>
  <c r="R42" i="3"/>
  <c r="F43" i="3"/>
  <c r="P43" i="3"/>
  <c r="G43" i="3"/>
  <c r="F44" i="3"/>
  <c r="P44" i="3"/>
  <c r="F45" i="3"/>
  <c r="P45" i="3"/>
  <c r="G45" i="3"/>
  <c r="F46" i="3"/>
  <c r="P46" i="3"/>
  <c r="G46" i="3"/>
  <c r="R46" i="3"/>
  <c r="F47" i="3"/>
  <c r="P47" i="3"/>
  <c r="F48" i="3"/>
  <c r="P48" i="3"/>
  <c r="F49" i="3"/>
  <c r="P49" i="3"/>
  <c r="G49" i="3"/>
  <c r="H49" i="3"/>
  <c r="F50" i="3"/>
  <c r="F51" i="3"/>
  <c r="P51" i="3"/>
  <c r="F52" i="3"/>
  <c r="P52" i="3"/>
  <c r="G52" i="3"/>
  <c r="H52" i="3"/>
  <c r="R52" i="3"/>
  <c r="F53" i="3"/>
  <c r="F54" i="3"/>
  <c r="P54" i="3"/>
  <c r="G54" i="3"/>
  <c r="R54" i="3"/>
  <c r="F55" i="3"/>
  <c r="P55" i="3"/>
  <c r="G55" i="3"/>
  <c r="F56" i="3"/>
  <c r="P56" i="3"/>
  <c r="G56" i="3"/>
  <c r="J56" i="3"/>
  <c r="F57" i="3"/>
  <c r="P57" i="3"/>
  <c r="G57" i="3"/>
  <c r="F58" i="3"/>
  <c r="P58" i="3"/>
  <c r="G58" i="3"/>
  <c r="R58" i="3"/>
  <c r="F59" i="3"/>
  <c r="P59" i="3"/>
  <c r="G59" i="3"/>
  <c r="J59" i="3"/>
  <c r="F60" i="3"/>
  <c r="P60" i="3"/>
  <c r="F64" i="3"/>
  <c r="P64" i="3"/>
  <c r="G64" i="3"/>
  <c r="F66" i="3"/>
  <c r="P66" i="3"/>
  <c r="G66" i="3"/>
  <c r="K66" i="3"/>
  <c r="R66" i="3"/>
  <c r="F73" i="3"/>
  <c r="P73" i="3"/>
  <c r="F74" i="3"/>
  <c r="P74" i="3"/>
  <c r="F75" i="3"/>
  <c r="P75" i="3"/>
  <c r="G75" i="3"/>
  <c r="K75" i="3"/>
  <c r="F77" i="3"/>
  <c r="F78" i="3"/>
  <c r="P78" i="3"/>
  <c r="F79" i="3"/>
  <c r="P79" i="3"/>
  <c r="G79" i="3"/>
  <c r="K79" i="3"/>
  <c r="R79" i="3"/>
  <c r="F82" i="3"/>
  <c r="F83" i="3"/>
  <c r="P83" i="3"/>
  <c r="G83" i="3"/>
  <c r="K83" i="3"/>
  <c r="F84" i="3"/>
  <c r="P84" i="3"/>
  <c r="G84" i="3"/>
  <c r="K84" i="3"/>
  <c r="F85" i="3"/>
  <c r="P85" i="3"/>
  <c r="R85" i="3"/>
  <c r="G85" i="3"/>
  <c r="K85" i="3"/>
  <c r="F91" i="3"/>
  <c r="P91" i="3"/>
  <c r="G91" i="3"/>
  <c r="U21" i="3"/>
  <c r="U22" i="3"/>
  <c r="U23" i="3"/>
  <c r="U24" i="3"/>
  <c r="U25" i="3"/>
  <c r="U26" i="3"/>
  <c r="U27" i="3"/>
  <c r="F61" i="3"/>
  <c r="P61" i="3"/>
  <c r="F62" i="3"/>
  <c r="F63" i="3"/>
  <c r="F65" i="3"/>
  <c r="P65" i="3"/>
  <c r="R65" i="3"/>
  <c r="F68" i="3"/>
  <c r="F70" i="3"/>
  <c r="F76" i="3"/>
  <c r="F86" i="3"/>
  <c r="F87" i="3"/>
  <c r="F88" i="3"/>
  <c r="F89" i="3"/>
  <c r="G89" i="3"/>
  <c r="K89" i="3"/>
  <c r="F98" i="3"/>
  <c r="G98" i="3"/>
  <c r="K98" i="3"/>
  <c r="F99" i="3"/>
  <c r="G99" i="3"/>
  <c r="K99" i="3"/>
  <c r="F102" i="3"/>
  <c r="U28" i="3"/>
  <c r="C29" i="3"/>
  <c r="D31" i="3"/>
  <c r="U29" i="3"/>
  <c r="C30" i="3"/>
  <c r="U30" i="3"/>
  <c r="U31" i="3"/>
  <c r="U32" i="3"/>
  <c r="H41" i="3"/>
  <c r="Q41" i="3"/>
  <c r="H42" i="3"/>
  <c r="Q42" i="3"/>
  <c r="H43" i="3"/>
  <c r="Q43" i="3"/>
  <c r="Q44" i="3"/>
  <c r="H45" i="3"/>
  <c r="Q45" i="3"/>
  <c r="E66" i="1"/>
  <c r="H46" i="3"/>
  <c r="Q46" i="3"/>
  <c r="Q47" i="3"/>
  <c r="Q48" i="3"/>
  <c r="Q49" i="3"/>
  <c r="Q50" i="3"/>
  <c r="Q51" i="3"/>
  <c r="Q52" i="3"/>
  <c r="Q53" i="3"/>
  <c r="Q60" i="3"/>
  <c r="G61" i="3"/>
  <c r="I61" i="3"/>
  <c r="Q61" i="3"/>
  <c r="G62" i="3"/>
  <c r="P62" i="3"/>
  <c r="Q62" i="3"/>
  <c r="Q63" i="3"/>
  <c r="G65" i="3"/>
  <c r="K65" i="3"/>
  <c r="Q65" i="3"/>
  <c r="Q68" i="3"/>
  <c r="G70" i="3"/>
  <c r="K70" i="3"/>
  <c r="P70" i="3"/>
  <c r="Q70" i="3"/>
  <c r="R70" i="3"/>
  <c r="Q73" i="3"/>
  <c r="Q74" i="3"/>
  <c r="Q75" i="3"/>
  <c r="Q77" i="3"/>
  <c r="Q78" i="3"/>
  <c r="Q79" i="3"/>
  <c r="Q82" i="3"/>
  <c r="Q83" i="3"/>
  <c r="Q84" i="3"/>
  <c r="Q85" i="3"/>
  <c r="G86" i="3"/>
  <c r="K86" i="3"/>
  <c r="P86" i="3"/>
  <c r="Q86" i="3"/>
  <c r="R86" i="3"/>
  <c r="G87" i="3"/>
  <c r="K87" i="3"/>
  <c r="P87" i="3"/>
  <c r="Q87" i="3"/>
  <c r="R87" i="3"/>
  <c r="G88" i="3"/>
  <c r="K88" i="3"/>
  <c r="P88" i="3"/>
  <c r="Q88" i="3"/>
  <c r="R88" i="3"/>
  <c r="Q89" i="3"/>
  <c r="K91" i="3"/>
  <c r="G102" i="3"/>
  <c r="K102" i="3"/>
  <c r="J54" i="3"/>
  <c r="Q54" i="3"/>
  <c r="J55" i="3"/>
  <c r="Q55" i="3"/>
  <c r="Q56" i="3"/>
  <c r="J57" i="3"/>
  <c r="Q57" i="3"/>
  <c r="J58" i="3"/>
  <c r="Q58" i="3"/>
  <c r="Q59" i="3"/>
  <c r="J64" i="3"/>
  <c r="Q64" i="3"/>
  <c r="Q66" i="3"/>
  <c r="G76" i="3"/>
  <c r="K76" i="3"/>
  <c r="P76" i="3"/>
  <c r="R76" i="3"/>
  <c r="Q76" i="3"/>
  <c r="A9" i="7"/>
  <c r="C9" i="7" s="1"/>
  <c r="H16" i="7"/>
  <c r="H15" i="7"/>
  <c r="H12" i="7"/>
  <c r="D21" i="7"/>
  <c r="H21" i="7" s="1"/>
  <c r="D22" i="7"/>
  <c r="F22" i="7" s="1"/>
  <c r="D23" i="7"/>
  <c r="H23" i="7" s="1"/>
  <c r="D24" i="7"/>
  <c r="F24" i="7" s="1"/>
  <c r="D25" i="7"/>
  <c r="D26" i="7"/>
  <c r="K26" i="7" s="1"/>
  <c r="H26" i="7"/>
  <c r="D27" i="7"/>
  <c r="D28" i="7"/>
  <c r="I28" i="7" s="1"/>
  <c r="D29" i="7"/>
  <c r="H29" i="7"/>
  <c r="D30" i="7"/>
  <c r="H30" i="7" s="1"/>
  <c r="D31" i="7"/>
  <c r="D32" i="7"/>
  <c r="H32" i="7" s="1"/>
  <c r="D33" i="7"/>
  <c r="L33" i="7" s="1"/>
  <c r="D34" i="7"/>
  <c r="H34" i="7" s="1"/>
  <c r="D35" i="7"/>
  <c r="D36" i="7"/>
  <c r="H36" i="7" s="1"/>
  <c r="D37" i="7"/>
  <c r="H37" i="7" s="1"/>
  <c r="D38" i="7"/>
  <c r="F38" i="7" s="1"/>
  <c r="H38" i="7"/>
  <c r="D39" i="7"/>
  <c r="D40" i="7"/>
  <c r="H40" i="7" s="1"/>
  <c r="D41" i="7"/>
  <c r="H41" i="7" s="1"/>
  <c r="D42" i="7"/>
  <c r="I42" i="7" s="1"/>
  <c r="D43" i="7"/>
  <c r="D44" i="7"/>
  <c r="I44" i="7" s="1"/>
  <c r="D45" i="7"/>
  <c r="H45" i="7" s="1"/>
  <c r="D46" i="7"/>
  <c r="H46" i="7" s="1"/>
  <c r="D47" i="7"/>
  <c r="H47" i="7" s="1"/>
  <c r="D48" i="7"/>
  <c r="F48" i="7" s="1"/>
  <c r="D49" i="7"/>
  <c r="H49" i="7" s="1"/>
  <c r="D50" i="7"/>
  <c r="H50" i="7" s="1"/>
  <c r="D51" i="7"/>
  <c r="J51" i="7" s="1"/>
  <c r="D52" i="7"/>
  <c r="J52" i="7" s="1"/>
  <c r="D53" i="7"/>
  <c r="D54" i="7"/>
  <c r="I54" i="7" s="1"/>
  <c r="D55" i="7"/>
  <c r="H55" i="7" s="1"/>
  <c r="D56" i="7"/>
  <c r="H56" i="7"/>
  <c r="D57" i="7"/>
  <c r="D58" i="7"/>
  <c r="L58" i="7" s="1"/>
  <c r="D59" i="7"/>
  <c r="J59" i="7" s="1"/>
  <c r="D60" i="7"/>
  <c r="H60" i="7"/>
  <c r="D61" i="7"/>
  <c r="H61" i="7" s="1"/>
  <c r="D62" i="7"/>
  <c r="D63" i="7"/>
  <c r="H63" i="7" s="1"/>
  <c r="D64" i="7"/>
  <c r="L64" i="7" s="1"/>
  <c r="D65" i="7"/>
  <c r="H65" i="7" s="1"/>
  <c r="D66" i="7"/>
  <c r="L66" i="7" s="1"/>
  <c r="D67" i="7"/>
  <c r="H67" i="7" s="1"/>
  <c r="D68" i="7"/>
  <c r="I68" i="7" s="1"/>
  <c r="D69" i="7"/>
  <c r="H69" i="7" s="1"/>
  <c r="D70" i="7"/>
  <c r="D71" i="7"/>
  <c r="H71" i="7" s="1"/>
  <c r="D72" i="7"/>
  <c r="H72" i="7" s="1"/>
  <c r="D73" i="7"/>
  <c r="F73" i="7" s="1"/>
  <c r="D74" i="7"/>
  <c r="D75" i="7"/>
  <c r="L75" i="7" s="1"/>
  <c r="D76" i="7"/>
  <c r="H76" i="7" s="1"/>
  <c r="D77" i="7"/>
  <c r="H77" i="7" s="1"/>
  <c r="D78" i="7"/>
  <c r="I78" i="7" s="1"/>
  <c r="D79" i="7"/>
  <c r="D80" i="7"/>
  <c r="H80" i="7" s="1"/>
  <c r="D81" i="7"/>
  <c r="H81" i="7" s="1"/>
  <c r="D82" i="7"/>
  <c r="H82" i="7"/>
  <c r="D83" i="7"/>
  <c r="D84" i="7"/>
  <c r="H84" i="7"/>
  <c r="D85" i="7"/>
  <c r="H85" i="7"/>
  <c r="D86" i="7"/>
  <c r="H86" i="7"/>
  <c r="D87" i="7"/>
  <c r="K87" i="7"/>
  <c r="H87" i="7"/>
  <c r="J16" i="7"/>
  <c r="J15" i="7"/>
  <c r="J22" i="7"/>
  <c r="J23" i="7"/>
  <c r="J25" i="7"/>
  <c r="J28" i="7"/>
  <c r="J29" i="7"/>
  <c r="J36" i="7"/>
  <c r="J39" i="7"/>
  <c r="J40" i="7"/>
  <c r="J41" i="7"/>
  <c r="J46" i="7"/>
  <c r="J55" i="7"/>
  <c r="J60" i="7"/>
  <c r="J63" i="7"/>
  <c r="J66" i="7"/>
  <c r="J67" i="7"/>
  <c r="J68" i="7"/>
  <c r="J71" i="7"/>
  <c r="J76" i="7"/>
  <c r="J77" i="7"/>
  <c r="J79" i="7"/>
  <c r="J81" i="7"/>
  <c r="J12" i="7"/>
  <c r="J85" i="7"/>
  <c r="J86" i="7"/>
  <c r="J87" i="7"/>
  <c r="I16" i="7"/>
  <c r="I15" i="7"/>
  <c r="I22" i="7"/>
  <c r="I23" i="7"/>
  <c r="I29" i="7"/>
  <c r="I30" i="7"/>
  <c r="I36" i="7"/>
  <c r="I39" i="7"/>
  <c r="I40" i="7"/>
  <c r="I41" i="7"/>
  <c r="I46" i="7"/>
  <c r="I50" i="7"/>
  <c r="I52" i="7"/>
  <c r="I55" i="7"/>
  <c r="I56" i="7"/>
  <c r="I60" i="7"/>
  <c r="I61" i="7"/>
  <c r="I63" i="7"/>
  <c r="I64" i="7"/>
  <c r="I65" i="7"/>
  <c r="I67" i="7"/>
  <c r="I70" i="7"/>
  <c r="I71" i="7"/>
  <c r="I76" i="7"/>
  <c r="I77" i="7"/>
  <c r="I80" i="7"/>
  <c r="I81" i="7"/>
  <c r="I82" i="7"/>
  <c r="I83" i="7"/>
  <c r="I12" i="7"/>
  <c r="I85" i="7"/>
  <c r="I86" i="7"/>
  <c r="I87" i="7"/>
  <c r="F16" i="7"/>
  <c r="F15" i="7"/>
  <c r="F23" i="7"/>
  <c r="F29" i="7"/>
  <c r="F30" i="7"/>
  <c r="F34" i="7"/>
  <c r="F36" i="7"/>
  <c r="F39" i="7"/>
  <c r="F41" i="7"/>
  <c r="F46" i="7"/>
  <c r="F47" i="7"/>
  <c r="F55" i="7"/>
  <c r="F56" i="7"/>
  <c r="F60" i="7"/>
  <c r="F61" i="7"/>
  <c r="F63" i="7"/>
  <c r="F65" i="7"/>
  <c r="F67" i="7"/>
  <c r="F68" i="7"/>
  <c r="F71" i="7"/>
  <c r="F76" i="7"/>
  <c r="F77" i="7"/>
  <c r="F79" i="7"/>
  <c r="F80" i="7"/>
  <c r="F82" i="7"/>
  <c r="F12" i="7"/>
  <c r="F85" i="7"/>
  <c r="F86" i="7"/>
  <c r="F87" i="7"/>
  <c r="G16" i="7"/>
  <c r="G15" i="7"/>
  <c r="E21" i="7"/>
  <c r="G21" i="7"/>
  <c r="E22" i="7"/>
  <c r="E23" i="7"/>
  <c r="G23" i="7"/>
  <c r="E24" i="7"/>
  <c r="G24" i="7"/>
  <c r="E25" i="7"/>
  <c r="G25" i="7"/>
  <c r="E26" i="7"/>
  <c r="G26" i="7"/>
  <c r="E27" i="7"/>
  <c r="G27" i="7"/>
  <c r="E28" i="7"/>
  <c r="G28" i="7"/>
  <c r="E29" i="7"/>
  <c r="G29" i="7"/>
  <c r="E30" i="7"/>
  <c r="E31" i="7"/>
  <c r="G31" i="7"/>
  <c r="E32" i="7"/>
  <c r="G32" i="7"/>
  <c r="E33" i="7"/>
  <c r="E34" i="7"/>
  <c r="G34" i="7"/>
  <c r="E35" i="7"/>
  <c r="G35" i="7"/>
  <c r="E36" i="7"/>
  <c r="G36" i="7"/>
  <c r="E37" i="7"/>
  <c r="G37" i="7"/>
  <c r="E38" i="7"/>
  <c r="E39" i="7"/>
  <c r="G39" i="7"/>
  <c r="E40" i="7"/>
  <c r="G40" i="7"/>
  <c r="E41" i="7"/>
  <c r="G41" i="7"/>
  <c r="E42" i="7"/>
  <c r="E43" i="7"/>
  <c r="G43" i="7"/>
  <c r="E44" i="7"/>
  <c r="G44" i="7"/>
  <c r="E45" i="7"/>
  <c r="G45" i="7"/>
  <c r="E46" i="7"/>
  <c r="E47" i="7"/>
  <c r="G47" i="7"/>
  <c r="E48" i="7"/>
  <c r="G48" i="7"/>
  <c r="E49" i="7"/>
  <c r="G49" i="7"/>
  <c r="E50" i="7"/>
  <c r="G50" i="7"/>
  <c r="E51" i="7"/>
  <c r="G51" i="7"/>
  <c r="E52" i="7"/>
  <c r="G52" i="7"/>
  <c r="E53" i="7"/>
  <c r="G53" i="7"/>
  <c r="E54" i="7"/>
  <c r="E55" i="7"/>
  <c r="G55" i="7"/>
  <c r="E56" i="7"/>
  <c r="G56" i="7"/>
  <c r="E57" i="7"/>
  <c r="G57" i="7"/>
  <c r="E58" i="7"/>
  <c r="G58" i="7"/>
  <c r="E59" i="7"/>
  <c r="G59" i="7"/>
  <c r="E60" i="7"/>
  <c r="G60" i="7"/>
  <c r="E61" i="7"/>
  <c r="G61" i="7"/>
  <c r="E62" i="7"/>
  <c r="E63" i="7"/>
  <c r="G63" i="7"/>
  <c r="E64" i="7"/>
  <c r="G64" i="7"/>
  <c r="E65" i="7"/>
  <c r="E66" i="7"/>
  <c r="G66" i="7"/>
  <c r="E67" i="7"/>
  <c r="G67" i="7"/>
  <c r="E68" i="7"/>
  <c r="G68" i="7"/>
  <c r="E69" i="7"/>
  <c r="G69" i="7"/>
  <c r="E70" i="7"/>
  <c r="E71" i="7"/>
  <c r="G71" i="7"/>
  <c r="E72" i="7"/>
  <c r="G72" i="7"/>
  <c r="E73" i="7"/>
  <c r="G73" i="7"/>
  <c r="E74" i="7"/>
  <c r="E75" i="7"/>
  <c r="G75" i="7"/>
  <c r="E76" i="7"/>
  <c r="G76" i="7"/>
  <c r="E77" i="7"/>
  <c r="G77" i="7"/>
  <c r="E78" i="7"/>
  <c r="E79" i="7"/>
  <c r="G79" i="7"/>
  <c r="E80" i="7"/>
  <c r="G80" i="7"/>
  <c r="E81" i="7"/>
  <c r="G81" i="7"/>
  <c r="E82" i="7"/>
  <c r="G82" i="7"/>
  <c r="E83" i="7"/>
  <c r="G83" i="7"/>
  <c r="E84" i="7"/>
  <c r="G84" i="7"/>
  <c r="G12" i="7"/>
  <c r="E85" i="7"/>
  <c r="G85" i="7"/>
  <c r="E86" i="7"/>
  <c r="G86" i="7"/>
  <c r="E87" i="7"/>
  <c r="G87" i="7"/>
  <c r="K16" i="7"/>
  <c r="K15" i="7"/>
  <c r="K12" i="7"/>
  <c r="K23" i="7"/>
  <c r="K27" i="7"/>
  <c r="K36" i="7"/>
  <c r="K43" i="7"/>
  <c r="K55" i="7"/>
  <c r="K56" i="7"/>
  <c r="K60" i="7"/>
  <c r="K67" i="7"/>
  <c r="K71" i="7"/>
  <c r="K76" i="7"/>
  <c r="K84" i="7"/>
  <c r="K86" i="7"/>
  <c r="L16" i="7"/>
  <c r="L15" i="7"/>
  <c r="L23" i="7"/>
  <c r="L27" i="7"/>
  <c r="L28" i="7"/>
  <c r="L36" i="7"/>
  <c r="L39" i="7"/>
  <c r="L40" i="7"/>
  <c r="L43" i="7"/>
  <c r="L50" i="7"/>
  <c r="L55" i="7"/>
  <c r="L56" i="7"/>
  <c r="L60" i="7"/>
  <c r="L67" i="7"/>
  <c r="L71" i="7"/>
  <c r="L72" i="7"/>
  <c r="L76" i="7"/>
  <c r="L83" i="7"/>
  <c r="L84" i="7"/>
  <c r="L86" i="7"/>
  <c r="C16" i="7"/>
  <c r="C15" i="7"/>
  <c r="N16" i="7"/>
  <c r="N15" i="7"/>
  <c r="N12" i="7"/>
  <c r="O16" i="7"/>
  <c r="O15" i="7"/>
  <c r="O12" i="7"/>
  <c r="G4" i="7"/>
  <c r="P16" i="7"/>
  <c r="P15" i="7"/>
  <c r="P12" i="7"/>
  <c r="G5" i="7"/>
  <c r="Q16" i="7"/>
  <c r="Q15" i="7"/>
  <c r="Q12" i="7"/>
  <c r="G6" i="7"/>
  <c r="G7" i="7"/>
  <c r="E16" i="7"/>
  <c r="E15" i="7"/>
  <c r="M16" i="7"/>
  <c r="M15" i="7"/>
  <c r="M12" i="7"/>
  <c r="E12" i="7"/>
  <c r="B10" i="7"/>
  <c r="D16" i="7"/>
  <c r="D15" i="7"/>
  <c r="D12" i="7"/>
  <c r="D88" i="7"/>
  <c r="I88" i="7"/>
  <c r="E88" i="7"/>
  <c r="K88" i="7"/>
  <c r="H88" i="7"/>
  <c r="J88" i="7"/>
  <c r="L88" i="7"/>
  <c r="D89" i="7"/>
  <c r="E89" i="7"/>
  <c r="L89" i="7"/>
  <c r="F89" i="7"/>
  <c r="H89" i="7"/>
  <c r="I89" i="7"/>
  <c r="J89" i="7"/>
  <c r="D90" i="7"/>
  <c r="E90" i="7"/>
  <c r="G90" i="7"/>
  <c r="L90" i="7"/>
  <c r="D91" i="7"/>
  <c r="F91" i="7"/>
  <c r="E91" i="7"/>
  <c r="G91" i="7"/>
  <c r="I91" i="7"/>
  <c r="J91" i="7"/>
  <c r="K91" i="7"/>
  <c r="L91" i="7"/>
  <c r="D92" i="7"/>
  <c r="E92" i="7"/>
  <c r="G92" i="7"/>
  <c r="D93" i="7"/>
  <c r="E93" i="7"/>
  <c r="G93" i="7"/>
  <c r="D94" i="7"/>
  <c r="I94" i="7"/>
  <c r="E94" i="7"/>
  <c r="G94" i="7"/>
  <c r="J94" i="7"/>
  <c r="K94" i="7"/>
  <c r="D95" i="7"/>
  <c r="J95" i="7"/>
  <c r="E95" i="7"/>
  <c r="K95" i="7"/>
  <c r="D96" i="7"/>
  <c r="F96" i="7"/>
  <c r="E96" i="7"/>
  <c r="G96" i="7"/>
  <c r="H96" i="7"/>
  <c r="I96" i="7"/>
  <c r="J96" i="7"/>
  <c r="D97" i="7"/>
  <c r="E97" i="7"/>
  <c r="L97" i="7"/>
  <c r="F97" i="7"/>
  <c r="G97" i="7"/>
  <c r="H97" i="7"/>
  <c r="I97" i="7"/>
  <c r="J97" i="7"/>
  <c r="K97" i="7"/>
  <c r="D98" i="7"/>
  <c r="E98" i="7"/>
  <c r="G98" i="7"/>
  <c r="D99" i="7"/>
  <c r="F99" i="7"/>
  <c r="E99" i="7"/>
  <c r="G99" i="7"/>
  <c r="H99" i="7"/>
  <c r="I99" i="7"/>
  <c r="J99" i="7"/>
  <c r="D100" i="7"/>
  <c r="H100" i="7"/>
  <c r="E100" i="7"/>
  <c r="G100" i="7"/>
  <c r="F100" i="7"/>
  <c r="I100" i="7"/>
  <c r="J100" i="7"/>
  <c r="K100" i="7"/>
  <c r="L100" i="7"/>
  <c r="D101" i="7"/>
  <c r="I101" i="7"/>
  <c r="E101" i="7"/>
  <c r="L101" i="7"/>
  <c r="H101" i="7"/>
  <c r="J101" i="7"/>
  <c r="K101" i="7"/>
  <c r="D102" i="7"/>
  <c r="E102" i="7"/>
  <c r="D103" i="7"/>
  <c r="E103" i="7"/>
  <c r="J103" i="7"/>
  <c r="L103" i="7"/>
  <c r="D104" i="7"/>
  <c r="E104" i="7"/>
  <c r="F104" i="7"/>
  <c r="H104" i="7"/>
  <c r="I104" i="7"/>
  <c r="J104" i="7"/>
  <c r="D105" i="7"/>
  <c r="E105" i="7"/>
  <c r="F105" i="7"/>
  <c r="G105" i="7"/>
  <c r="D106" i="7"/>
  <c r="F106" i="7"/>
  <c r="E106" i="7"/>
  <c r="G106" i="7"/>
  <c r="H106" i="7"/>
  <c r="I106" i="7"/>
  <c r="J106" i="7"/>
  <c r="D107" i="7"/>
  <c r="E107" i="7"/>
  <c r="G107" i="7"/>
  <c r="F107" i="7"/>
  <c r="H107" i="7"/>
  <c r="I107" i="7"/>
  <c r="J107" i="7"/>
  <c r="K107" i="7"/>
  <c r="D108" i="7"/>
  <c r="E108" i="7"/>
  <c r="G108" i="7"/>
  <c r="I108" i="7"/>
  <c r="J108" i="7"/>
  <c r="L108" i="7"/>
  <c r="D109" i="7"/>
  <c r="I109" i="7"/>
  <c r="E109" i="7"/>
  <c r="H109" i="7"/>
  <c r="J109" i="7"/>
  <c r="K109" i="7"/>
  <c r="D110" i="7"/>
  <c r="E110" i="7"/>
  <c r="F110" i="7"/>
  <c r="I110" i="7"/>
  <c r="K110" i="7"/>
  <c r="L110" i="7"/>
  <c r="D111" i="7"/>
  <c r="E111" i="7"/>
  <c r="G111" i="7"/>
  <c r="J111" i="7"/>
  <c r="L111" i="7"/>
  <c r="D112" i="7"/>
  <c r="E112" i="7"/>
  <c r="F112" i="7"/>
  <c r="H112" i="7"/>
  <c r="I112" i="7"/>
  <c r="J112" i="7"/>
  <c r="D113" i="7"/>
  <c r="E113" i="7"/>
  <c r="F113" i="7"/>
  <c r="G113" i="7"/>
  <c r="D114" i="7"/>
  <c r="F114" i="7"/>
  <c r="E114" i="7"/>
  <c r="D115" i="7"/>
  <c r="E115" i="7"/>
  <c r="F115" i="7"/>
  <c r="H115" i="7"/>
  <c r="I115" i="7"/>
  <c r="J115" i="7"/>
  <c r="D116" i="7"/>
  <c r="H116" i="7"/>
  <c r="E116" i="7"/>
  <c r="G116" i="7"/>
  <c r="D117" i="7"/>
  <c r="E117" i="7"/>
  <c r="L117" i="7"/>
  <c r="G117" i="7"/>
  <c r="H117" i="7"/>
  <c r="J117" i="7"/>
  <c r="K117" i="7"/>
  <c r="D118" i="7"/>
  <c r="J118" i="7"/>
  <c r="E118" i="7"/>
  <c r="F118" i="7"/>
  <c r="D119" i="7"/>
  <c r="H119" i="7"/>
  <c r="E119" i="7"/>
  <c r="K119" i="7"/>
  <c r="F119" i="7"/>
  <c r="G119" i="7"/>
  <c r="I119" i="7"/>
  <c r="J119" i="7"/>
  <c r="L119" i="7"/>
  <c r="D120" i="7"/>
  <c r="E120" i="7"/>
  <c r="L120" i="7"/>
  <c r="F120" i="7"/>
  <c r="G120" i="7"/>
  <c r="H120" i="7"/>
  <c r="I120" i="7"/>
  <c r="J120" i="7"/>
  <c r="D121" i="7"/>
  <c r="J121" i="7"/>
  <c r="E121" i="7"/>
  <c r="F121" i="7"/>
  <c r="G121" i="7"/>
  <c r="H121" i="7"/>
  <c r="I121" i="7"/>
  <c r="K121" i="7"/>
  <c r="D122" i="7"/>
  <c r="F122" i="7"/>
  <c r="E122" i="7"/>
  <c r="K122" i="7"/>
  <c r="G122" i="7"/>
  <c r="D123" i="7"/>
  <c r="E123" i="7"/>
  <c r="F123" i="7"/>
  <c r="H123" i="7"/>
  <c r="I123" i="7"/>
  <c r="J123" i="7"/>
  <c r="K123" i="7"/>
  <c r="D124" i="7"/>
  <c r="H124" i="7"/>
  <c r="E124" i="7"/>
  <c r="F124" i="7"/>
  <c r="G124" i="7"/>
  <c r="D125" i="7"/>
  <c r="E125" i="7"/>
  <c r="G125" i="7"/>
  <c r="H125" i="7"/>
  <c r="J125" i="7"/>
  <c r="K125" i="7"/>
  <c r="L125" i="7"/>
  <c r="D126" i="7"/>
  <c r="J126" i="7"/>
  <c r="E126" i="7"/>
  <c r="F126" i="7"/>
  <c r="H126" i="7"/>
  <c r="D127" i="7"/>
  <c r="E127" i="7"/>
  <c r="G127" i="7"/>
  <c r="D128" i="7"/>
  <c r="E128" i="7"/>
  <c r="L128" i="7"/>
  <c r="F128" i="7"/>
  <c r="G128" i="7"/>
  <c r="H128" i="7"/>
  <c r="I128" i="7"/>
  <c r="J128" i="7"/>
  <c r="D129" i="7"/>
  <c r="K129" i="7"/>
  <c r="E129" i="7"/>
  <c r="G129" i="7"/>
  <c r="H129" i="7"/>
  <c r="I129" i="7"/>
  <c r="J129" i="7"/>
  <c r="L129" i="7"/>
  <c r="D130" i="7"/>
  <c r="E130" i="7"/>
  <c r="G130" i="7"/>
  <c r="D131" i="7"/>
  <c r="I131" i="7"/>
  <c r="E131" i="7"/>
  <c r="G131" i="7"/>
  <c r="F131" i="7"/>
  <c r="H131" i="7"/>
  <c r="D132" i="7"/>
  <c r="H132" i="7"/>
  <c r="E132" i="7"/>
  <c r="L132" i="7"/>
  <c r="G132" i="7"/>
  <c r="I132" i="7"/>
  <c r="J132" i="7"/>
  <c r="K132" i="7"/>
  <c r="D133" i="7"/>
  <c r="I133" i="7"/>
  <c r="E133" i="7"/>
  <c r="D134" i="7"/>
  <c r="J134" i="7"/>
  <c r="E134" i="7"/>
  <c r="F134" i="7"/>
  <c r="G134" i="7"/>
  <c r="H134" i="7"/>
  <c r="D135" i="7"/>
  <c r="E135" i="7"/>
  <c r="K135" i="7"/>
  <c r="F135" i="7"/>
  <c r="H135" i="7"/>
  <c r="I135" i="7"/>
  <c r="J135" i="7"/>
  <c r="L135" i="7"/>
  <c r="D136" i="7"/>
  <c r="E136" i="7"/>
  <c r="F136" i="7"/>
  <c r="H136" i="7"/>
  <c r="I136" i="7"/>
  <c r="J136" i="7"/>
  <c r="D137" i="7"/>
  <c r="H137" i="7"/>
  <c r="E137" i="7"/>
  <c r="F137" i="7"/>
  <c r="G137" i="7"/>
  <c r="L137" i="7"/>
  <c r="D138" i="7"/>
  <c r="F138" i="7"/>
  <c r="E138" i="7"/>
  <c r="K138" i="7"/>
  <c r="G138" i="7"/>
  <c r="H138" i="7"/>
  <c r="I138" i="7"/>
  <c r="J138" i="7"/>
  <c r="L138" i="7"/>
  <c r="D139" i="7"/>
  <c r="E139" i="7"/>
  <c r="G139" i="7"/>
  <c r="D140" i="7"/>
  <c r="H140" i="7"/>
  <c r="E140" i="7"/>
  <c r="F140" i="7"/>
  <c r="G140" i="7"/>
  <c r="D141" i="7"/>
  <c r="I141" i="7"/>
  <c r="E141" i="7"/>
  <c r="L141" i="7"/>
  <c r="G141" i="7"/>
  <c r="H141" i="7"/>
  <c r="J141" i="7"/>
  <c r="K141" i="7"/>
  <c r="D142" i="7"/>
  <c r="J142" i="7"/>
  <c r="E142" i="7"/>
  <c r="D143" i="7"/>
  <c r="I143" i="7"/>
  <c r="E143" i="7"/>
  <c r="K143" i="7"/>
  <c r="F143" i="7"/>
  <c r="G143" i="7"/>
  <c r="H143" i="7"/>
  <c r="J143" i="7"/>
  <c r="D144" i="7"/>
  <c r="E144" i="7"/>
  <c r="L144" i="7"/>
  <c r="F144" i="7"/>
  <c r="G144" i="7"/>
  <c r="H144" i="7"/>
  <c r="I144" i="7"/>
  <c r="J144" i="7"/>
  <c r="D145" i="7"/>
  <c r="E145" i="7"/>
  <c r="G145" i="7"/>
  <c r="D146" i="7"/>
  <c r="F146" i="7"/>
  <c r="E146" i="7"/>
  <c r="G146" i="7"/>
  <c r="D147" i="7"/>
  <c r="E147" i="7"/>
  <c r="G147" i="7"/>
  <c r="F147" i="7"/>
  <c r="H147" i="7"/>
  <c r="I147" i="7"/>
  <c r="J147" i="7"/>
  <c r="L147" i="7"/>
  <c r="D148" i="7"/>
  <c r="E148" i="7"/>
  <c r="G148" i="7"/>
  <c r="D149" i="7"/>
  <c r="I149" i="7"/>
  <c r="E149" i="7"/>
  <c r="F149" i="7"/>
  <c r="G149" i="7"/>
  <c r="D150" i="7"/>
  <c r="J150" i="7"/>
  <c r="E150" i="7"/>
  <c r="G150" i="7"/>
  <c r="H150" i="7"/>
  <c r="I150" i="7"/>
  <c r="K150" i="7"/>
  <c r="D151" i="7"/>
  <c r="F151" i="7"/>
  <c r="E151" i="7"/>
  <c r="D152" i="7"/>
  <c r="E152" i="7"/>
  <c r="L152" i="7"/>
  <c r="F152" i="7"/>
  <c r="G152" i="7"/>
  <c r="H152" i="7"/>
  <c r="I152" i="7"/>
  <c r="J152" i="7"/>
  <c r="D153" i="7"/>
  <c r="J153" i="7"/>
  <c r="E153" i="7"/>
  <c r="F153" i="7"/>
  <c r="G153" i="7"/>
  <c r="H153" i="7"/>
  <c r="I153" i="7"/>
  <c r="K153" i="7"/>
  <c r="L153" i="7"/>
  <c r="D154" i="7"/>
  <c r="F154" i="7"/>
  <c r="E154" i="7"/>
  <c r="G154" i="7"/>
  <c r="H154" i="7"/>
  <c r="I154" i="7"/>
  <c r="J154" i="7"/>
  <c r="K154" i="7"/>
  <c r="L154" i="7"/>
  <c r="D155" i="7"/>
  <c r="H155" i="7"/>
  <c r="E155" i="7"/>
  <c r="G155" i="7"/>
  <c r="F155" i="7"/>
  <c r="D156" i="7"/>
  <c r="I156" i="7"/>
  <c r="E156" i="7"/>
  <c r="F156" i="7"/>
  <c r="G156" i="7"/>
  <c r="H156" i="7"/>
  <c r="J156" i="7"/>
  <c r="D157" i="7"/>
  <c r="J157" i="7"/>
  <c r="E157" i="7"/>
  <c r="F157" i="7"/>
  <c r="G157" i="7"/>
  <c r="H157" i="7"/>
  <c r="I157" i="7"/>
  <c r="K157" i="7"/>
  <c r="L157" i="7"/>
  <c r="D158" i="7"/>
  <c r="F158" i="7"/>
  <c r="E158" i="7"/>
  <c r="K158" i="7"/>
  <c r="G158" i="7"/>
  <c r="H158" i="7"/>
  <c r="I158" i="7"/>
  <c r="J158" i="7"/>
  <c r="L158" i="7"/>
  <c r="D159" i="7"/>
  <c r="E159" i="7"/>
  <c r="L159" i="7"/>
  <c r="F159" i="7"/>
  <c r="H159" i="7"/>
  <c r="I159" i="7"/>
  <c r="J159" i="7"/>
  <c r="K159" i="7"/>
  <c r="D160" i="7"/>
  <c r="L160" i="7"/>
  <c r="E160" i="7"/>
  <c r="G160" i="7"/>
  <c r="D161" i="7"/>
  <c r="F161" i="7"/>
  <c r="E161" i="7"/>
  <c r="D162" i="7"/>
  <c r="H162" i="7"/>
  <c r="E162" i="7"/>
  <c r="G162" i="7"/>
  <c r="F162" i="7"/>
  <c r="L162" i="7"/>
  <c r="D163" i="7"/>
  <c r="H163" i="7"/>
  <c r="E163" i="7"/>
  <c r="F163" i="7"/>
  <c r="G163" i="7"/>
  <c r="D164" i="7"/>
  <c r="I164" i="7"/>
  <c r="E164" i="7"/>
  <c r="F164" i="7"/>
  <c r="G164" i="7"/>
  <c r="H164" i="7"/>
  <c r="J164" i="7"/>
  <c r="D165" i="7"/>
  <c r="J165" i="7"/>
  <c r="E165" i="7"/>
  <c r="F165" i="7"/>
  <c r="G165" i="7"/>
  <c r="H165" i="7"/>
  <c r="I165" i="7"/>
  <c r="K165" i="7"/>
  <c r="L165" i="7"/>
  <c r="D166" i="7"/>
  <c r="F166" i="7"/>
  <c r="E166" i="7"/>
  <c r="K166" i="7"/>
  <c r="G166" i="7"/>
  <c r="H166" i="7"/>
  <c r="I166" i="7"/>
  <c r="J166" i="7"/>
  <c r="L166" i="7"/>
  <c r="D167" i="7"/>
  <c r="E167" i="7"/>
  <c r="L167" i="7"/>
  <c r="F167" i="7"/>
  <c r="H167" i="7"/>
  <c r="I167" i="7"/>
  <c r="J167" i="7"/>
  <c r="K167" i="7"/>
  <c r="D168" i="7"/>
  <c r="L168" i="7"/>
  <c r="E168" i="7"/>
  <c r="G168" i="7"/>
  <c r="D169" i="7"/>
  <c r="F169" i="7"/>
  <c r="E169" i="7"/>
  <c r="D170" i="7"/>
  <c r="H170" i="7"/>
  <c r="E170" i="7"/>
  <c r="G170" i="7"/>
  <c r="F170" i="7"/>
  <c r="L170" i="7"/>
  <c r="D171" i="7"/>
  <c r="H171" i="7"/>
  <c r="E171" i="7"/>
  <c r="F171" i="7"/>
  <c r="G171" i="7"/>
  <c r="D172" i="7"/>
  <c r="I172" i="7"/>
  <c r="E172" i="7"/>
  <c r="F172" i="7"/>
  <c r="G172" i="7"/>
  <c r="H172" i="7"/>
  <c r="J172" i="7"/>
  <c r="D173" i="7"/>
  <c r="J173" i="7"/>
  <c r="E173" i="7"/>
  <c r="F173" i="7"/>
  <c r="G173" i="7"/>
  <c r="H173" i="7"/>
  <c r="I173" i="7"/>
  <c r="K173" i="7"/>
  <c r="L173" i="7"/>
  <c r="D174" i="7"/>
  <c r="F174" i="7"/>
  <c r="E174" i="7"/>
  <c r="K174" i="7"/>
  <c r="G174" i="7"/>
  <c r="H174" i="7"/>
  <c r="I174" i="7"/>
  <c r="J174" i="7"/>
  <c r="L174" i="7"/>
  <c r="D175" i="7"/>
  <c r="E175" i="7"/>
  <c r="L175" i="7"/>
  <c r="F175" i="7"/>
  <c r="H175" i="7"/>
  <c r="I175" i="7"/>
  <c r="J175" i="7"/>
  <c r="K175" i="7"/>
  <c r="D176" i="7"/>
  <c r="L176" i="7"/>
  <c r="E176" i="7"/>
  <c r="G176" i="7"/>
  <c r="D177" i="7"/>
  <c r="F177" i="7"/>
  <c r="E177" i="7"/>
  <c r="D178" i="7"/>
  <c r="H178" i="7"/>
  <c r="E178" i="7"/>
  <c r="G178" i="7"/>
  <c r="F178" i="7"/>
  <c r="L178" i="7"/>
  <c r="D179" i="7"/>
  <c r="H179" i="7"/>
  <c r="E179" i="7"/>
  <c r="F179" i="7"/>
  <c r="G179" i="7"/>
  <c r="D180" i="7"/>
  <c r="I180" i="7"/>
  <c r="E180" i="7"/>
  <c r="F180" i="7"/>
  <c r="G180" i="7"/>
  <c r="H180" i="7"/>
  <c r="J180" i="7"/>
  <c r="D181" i="7"/>
  <c r="J181" i="7"/>
  <c r="E181" i="7"/>
  <c r="F181" i="7"/>
  <c r="G181" i="7"/>
  <c r="H181" i="7"/>
  <c r="I181" i="7"/>
  <c r="K181" i="7"/>
  <c r="L181" i="7"/>
  <c r="D182" i="7"/>
  <c r="F182" i="7"/>
  <c r="E182" i="7"/>
  <c r="K182" i="7"/>
  <c r="G182" i="7"/>
  <c r="H182" i="7"/>
  <c r="I182" i="7"/>
  <c r="J182" i="7"/>
  <c r="L182" i="7"/>
  <c r="D183" i="7"/>
  <c r="E183" i="7"/>
  <c r="L183" i="7"/>
  <c r="F183" i="7"/>
  <c r="H183" i="7"/>
  <c r="I183" i="7"/>
  <c r="J183" i="7"/>
  <c r="K183" i="7"/>
  <c r="D184" i="7"/>
  <c r="L184" i="7"/>
  <c r="E184" i="7"/>
  <c r="G184" i="7"/>
  <c r="D185" i="7"/>
  <c r="F185" i="7"/>
  <c r="E185" i="7"/>
  <c r="D186" i="7"/>
  <c r="H186" i="7"/>
  <c r="E186" i="7"/>
  <c r="G186" i="7"/>
  <c r="F186" i="7"/>
  <c r="L186" i="7"/>
  <c r="D187" i="7"/>
  <c r="H187" i="7"/>
  <c r="E187" i="7"/>
  <c r="F187" i="7"/>
  <c r="G187" i="7"/>
  <c r="D188" i="7"/>
  <c r="I188" i="7"/>
  <c r="E188" i="7"/>
  <c r="F188" i="7"/>
  <c r="G188" i="7"/>
  <c r="H188" i="7"/>
  <c r="J188" i="7"/>
  <c r="D189" i="7"/>
  <c r="J189" i="7"/>
  <c r="E189" i="7"/>
  <c r="F189" i="7"/>
  <c r="G189" i="7"/>
  <c r="H189" i="7"/>
  <c r="I189" i="7"/>
  <c r="K189" i="7"/>
  <c r="L189" i="7"/>
  <c r="D190" i="7"/>
  <c r="F190" i="7"/>
  <c r="E190" i="7"/>
  <c r="K190" i="7"/>
  <c r="G190" i="7"/>
  <c r="H190" i="7"/>
  <c r="I190" i="7"/>
  <c r="J190" i="7"/>
  <c r="L190" i="7"/>
  <c r="D191" i="7"/>
  <c r="E191" i="7"/>
  <c r="L191" i="7"/>
  <c r="F191" i="7"/>
  <c r="H191" i="7"/>
  <c r="I191" i="7"/>
  <c r="J191" i="7"/>
  <c r="K191" i="7"/>
  <c r="D192" i="7"/>
  <c r="L192" i="7"/>
  <c r="E192" i="7"/>
  <c r="G192" i="7"/>
  <c r="D193" i="7"/>
  <c r="F193" i="7"/>
  <c r="E193" i="7"/>
  <c r="D194" i="7"/>
  <c r="H194" i="7"/>
  <c r="E194" i="7"/>
  <c r="G194" i="7"/>
  <c r="F194" i="7"/>
  <c r="L194" i="7"/>
  <c r="D195" i="7"/>
  <c r="H195" i="7"/>
  <c r="E195" i="7"/>
  <c r="F195" i="7"/>
  <c r="G195" i="7"/>
  <c r="D196" i="7"/>
  <c r="I196" i="7"/>
  <c r="E196" i="7"/>
  <c r="F196" i="7"/>
  <c r="H196" i="7"/>
  <c r="J196" i="7"/>
  <c r="D197" i="7"/>
  <c r="J197" i="7"/>
  <c r="E197" i="7"/>
  <c r="F197" i="7"/>
  <c r="G197" i="7"/>
  <c r="H197" i="7"/>
  <c r="I197" i="7"/>
  <c r="K197" i="7"/>
  <c r="L197" i="7"/>
  <c r="D198" i="7"/>
  <c r="F198" i="7"/>
  <c r="E198" i="7"/>
  <c r="K198" i="7"/>
  <c r="G198" i="7"/>
  <c r="H198" i="7"/>
  <c r="I198" i="7"/>
  <c r="J198" i="7"/>
  <c r="L198" i="7"/>
  <c r="D199" i="7"/>
  <c r="E199" i="7"/>
  <c r="L199" i="7"/>
  <c r="F199" i="7"/>
  <c r="H199" i="7"/>
  <c r="I199" i="7"/>
  <c r="J199" i="7"/>
  <c r="K199" i="7"/>
  <c r="D200" i="7"/>
  <c r="L200" i="7"/>
  <c r="E200" i="7"/>
  <c r="G200" i="7"/>
  <c r="D201" i="7"/>
  <c r="F201" i="7"/>
  <c r="E201" i="7"/>
  <c r="D202" i="7"/>
  <c r="H202" i="7"/>
  <c r="E202" i="7"/>
  <c r="G202" i="7"/>
  <c r="F202" i="7"/>
  <c r="L202" i="7"/>
  <c r="D203" i="7"/>
  <c r="H203" i="7"/>
  <c r="E203" i="7"/>
  <c r="G203" i="7"/>
  <c r="D204" i="7"/>
  <c r="I204" i="7"/>
  <c r="E204" i="7"/>
  <c r="F204" i="7"/>
  <c r="H204" i="7"/>
  <c r="J204" i="7"/>
  <c r="D205" i="7"/>
  <c r="J205" i="7"/>
  <c r="E205" i="7"/>
  <c r="F205" i="7"/>
  <c r="G205" i="7"/>
  <c r="H205" i="7"/>
  <c r="I205" i="7"/>
  <c r="K205" i="7"/>
  <c r="L205" i="7"/>
  <c r="D206" i="7"/>
  <c r="F206" i="7"/>
  <c r="E206" i="7"/>
  <c r="K206" i="7"/>
  <c r="G206" i="7"/>
  <c r="H206" i="7"/>
  <c r="I206" i="7"/>
  <c r="J206" i="7"/>
  <c r="L206" i="7"/>
  <c r="D207" i="7"/>
  <c r="E207" i="7"/>
  <c r="L207" i="7"/>
  <c r="F207" i="7"/>
  <c r="H207" i="7"/>
  <c r="I207" i="7"/>
  <c r="J207" i="7"/>
  <c r="K207" i="7"/>
  <c r="D208" i="7"/>
  <c r="E208" i="7"/>
  <c r="G208" i="7"/>
  <c r="D209" i="7"/>
  <c r="F209" i="7"/>
  <c r="E209" i="7"/>
  <c r="D210" i="7"/>
  <c r="H210" i="7"/>
  <c r="E210" i="7"/>
  <c r="G210" i="7"/>
  <c r="F210" i="7"/>
  <c r="L210" i="7"/>
  <c r="D211" i="7"/>
  <c r="H211" i="7"/>
  <c r="E211" i="7"/>
  <c r="G211" i="7"/>
  <c r="F211" i="7"/>
  <c r="D212" i="7"/>
  <c r="I212" i="7"/>
  <c r="E212" i="7"/>
  <c r="F212" i="7"/>
  <c r="G212" i="7"/>
  <c r="H212" i="7"/>
  <c r="J212" i="7"/>
  <c r="D213" i="7"/>
  <c r="J213" i="7"/>
  <c r="E213" i="7"/>
  <c r="F213" i="7"/>
  <c r="G213" i="7"/>
  <c r="H213" i="7"/>
  <c r="I213" i="7"/>
  <c r="K213" i="7"/>
  <c r="L213" i="7"/>
  <c r="D214" i="7"/>
  <c r="F214" i="7"/>
  <c r="E214" i="7"/>
  <c r="K214" i="7"/>
  <c r="G214" i="7"/>
  <c r="H214" i="7"/>
  <c r="I214" i="7"/>
  <c r="J214" i="7"/>
  <c r="L214" i="7"/>
  <c r="D215" i="7"/>
  <c r="E215" i="7"/>
  <c r="L215" i="7"/>
  <c r="F215" i="7"/>
  <c r="H215" i="7"/>
  <c r="I215" i="7"/>
  <c r="J215" i="7"/>
  <c r="K215" i="7"/>
  <c r="D216" i="7"/>
  <c r="E216" i="7"/>
  <c r="G216" i="7"/>
  <c r="J216" i="7"/>
  <c r="D217" i="7"/>
  <c r="F217" i="7"/>
  <c r="E217" i="7"/>
  <c r="K217" i="7"/>
  <c r="D218" i="7"/>
  <c r="E218" i="7"/>
  <c r="G218" i="7"/>
  <c r="L218" i="7"/>
  <c r="D219" i="7"/>
  <c r="H219" i="7"/>
  <c r="E219" i="7"/>
  <c r="G219" i="7"/>
  <c r="F219" i="7"/>
  <c r="D220" i="7"/>
  <c r="I220" i="7"/>
  <c r="E220" i="7"/>
  <c r="F220" i="7"/>
  <c r="G220" i="7"/>
  <c r="H220" i="7"/>
  <c r="J220" i="7"/>
  <c r="D221" i="7"/>
  <c r="J221" i="7"/>
  <c r="E221" i="7"/>
  <c r="F221" i="7"/>
  <c r="G221" i="7"/>
  <c r="H221" i="7"/>
  <c r="I221" i="7"/>
  <c r="K221" i="7"/>
  <c r="L221" i="7"/>
  <c r="D222" i="7"/>
  <c r="F222" i="7"/>
  <c r="E222" i="7"/>
  <c r="K222" i="7"/>
  <c r="G222" i="7"/>
  <c r="H222" i="7"/>
  <c r="I222" i="7"/>
  <c r="J222" i="7"/>
  <c r="L222" i="7"/>
  <c r="D223" i="7"/>
  <c r="E223" i="7"/>
  <c r="L223" i="7"/>
  <c r="F223" i="7"/>
  <c r="H223" i="7"/>
  <c r="I223" i="7"/>
  <c r="J223" i="7"/>
  <c r="K223" i="7"/>
  <c r="D224" i="7"/>
  <c r="I224" i="7"/>
  <c r="E224" i="7"/>
  <c r="G224" i="7"/>
  <c r="J224" i="7"/>
  <c r="L224" i="7"/>
  <c r="D225" i="7"/>
  <c r="J225" i="7"/>
  <c r="E225" i="7"/>
  <c r="G225" i="7"/>
  <c r="K225" i="7"/>
  <c r="D226" i="7"/>
  <c r="F226" i="7"/>
  <c r="E226" i="7"/>
  <c r="K226" i="7"/>
  <c r="L226" i="7"/>
  <c r="D227" i="7"/>
  <c r="F227" i="7"/>
  <c r="E227" i="7"/>
  <c r="L227" i="7"/>
  <c r="G227" i="7"/>
  <c r="D228" i="7"/>
  <c r="I228" i="7"/>
  <c r="E228" i="7"/>
  <c r="F228" i="7"/>
  <c r="G228" i="7"/>
  <c r="H228" i="7"/>
  <c r="J228" i="7"/>
  <c r="D229" i="7"/>
  <c r="J229" i="7"/>
  <c r="E229" i="7"/>
  <c r="F229" i="7"/>
  <c r="G229" i="7"/>
  <c r="H229" i="7"/>
  <c r="I229" i="7"/>
  <c r="K229" i="7"/>
  <c r="L229" i="7"/>
  <c r="D230" i="7"/>
  <c r="F230" i="7"/>
  <c r="E230" i="7"/>
  <c r="K230" i="7"/>
  <c r="G230" i="7"/>
  <c r="H230" i="7"/>
  <c r="I230" i="7"/>
  <c r="J230" i="7"/>
  <c r="L230" i="7"/>
  <c r="D231" i="7"/>
  <c r="E231" i="7"/>
  <c r="L231" i="7"/>
  <c r="F231" i="7"/>
  <c r="H231" i="7"/>
  <c r="I231" i="7"/>
  <c r="J231" i="7"/>
  <c r="K231" i="7"/>
  <c r="D232" i="7"/>
  <c r="E232" i="7"/>
  <c r="G232" i="7"/>
  <c r="J232" i="7"/>
  <c r="K232" i="7"/>
  <c r="D233" i="7"/>
  <c r="E233" i="7"/>
  <c r="D234" i="7"/>
  <c r="E234" i="7"/>
  <c r="H234" i="7"/>
  <c r="D235" i="7"/>
  <c r="E235" i="7"/>
  <c r="G235" i="7"/>
  <c r="D236" i="7"/>
  <c r="I236" i="7"/>
  <c r="E236" i="7"/>
  <c r="F236" i="7"/>
  <c r="H236" i="7"/>
  <c r="J236" i="7"/>
  <c r="D237" i="7"/>
  <c r="J237" i="7"/>
  <c r="E237" i="7"/>
  <c r="F237" i="7"/>
  <c r="G237" i="7"/>
  <c r="H237" i="7"/>
  <c r="I237" i="7"/>
  <c r="K237" i="7"/>
  <c r="L237" i="7"/>
  <c r="D238" i="7"/>
  <c r="F238" i="7"/>
  <c r="E238" i="7"/>
  <c r="K238" i="7"/>
  <c r="G238" i="7"/>
  <c r="H238" i="7"/>
  <c r="I238" i="7"/>
  <c r="J238" i="7"/>
  <c r="L238" i="7"/>
  <c r="D239" i="7"/>
  <c r="E239" i="7"/>
  <c r="F239" i="7"/>
  <c r="H239" i="7"/>
  <c r="I239" i="7"/>
  <c r="J239" i="7"/>
  <c r="K239" i="7"/>
  <c r="D240" i="7"/>
  <c r="H240" i="7"/>
  <c r="E240" i="7"/>
  <c r="G240" i="7"/>
  <c r="I240" i="7"/>
  <c r="K240" i="7"/>
  <c r="L240" i="7"/>
  <c r="D241" i="7"/>
  <c r="J241" i="7"/>
  <c r="E241" i="7"/>
  <c r="G241" i="7"/>
  <c r="D242" i="7"/>
  <c r="F242" i="7"/>
  <c r="E242" i="7"/>
  <c r="L242" i="7"/>
  <c r="D243" i="7"/>
  <c r="H243" i="7"/>
  <c r="E243" i="7"/>
  <c r="G243" i="7"/>
  <c r="J243" i="7"/>
  <c r="L243" i="7"/>
  <c r="D244" i="7"/>
  <c r="I244" i="7"/>
  <c r="E244" i="7"/>
  <c r="L244" i="7"/>
  <c r="F244" i="7"/>
  <c r="H244" i="7"/>
  <c r="J244" i="7"/>
  <c r="D245" i="7"/>
  <c r="J245" i="7"/>
  <c r="E245" i="7"/>
  <c r="G245" i="7"/>
  <c r="I245" i="7"/>
  <c r="D246" i="7"/>
  <c r="F246" i="7"/>
  <c r="E246" i="7"/>
  <c r="K246" i="7"/>
  <c r="H246" i="7"/>
  <c r="I246" i="7"/>
  <c r="J246" i="7"/>
  <c r="D247" i="7"/>
  <c r="E247" i="7"/>
  <c r="F247" i="7"/>
  <c r="H247" i="7"/>
  <c r="I247" i="7"/>
  <c r="J247" i="7"/>
  <c r="K247" i="7"/>
  <c r="D248" i="7"/>
  <c r="H248" i="7"/>
  <c r="E248" i="7"/>
  <c r="F248" i="7"/>
  <c r="G248" i="7"/>
  <c r="I248" i="7"/>
  <c r="J248" i="7"/>
  <c r="K248" i="7"/>
  <c r="L248" i="7"/>
  <c r="D249" i="7"/>
  <c r="E249" i="7"/>
  <c r="G249" i="7"/>
  <c r="H249" i="7"/>
  <c r="K249" i="7"/>
  <c r="D250" i="7"/>
  <c r="E250" i="7"/>
  <c r="D251" i="7"/>
  <c r="H251" i="7"/>
  <c r="E251" i="7"/>
  <c r="F251" i="7"/>
  <c r="G251" i="7"/>
  <c r="J251" i="7"/>
  <c r="D252" i="7"/>
  <c r="I252" i="7"/>
  <c r="E252" i="7"/>
  <c r="F252" i="7"/>
  <c r="H252" i="7"/>
  <c r="J252" i="7"/>
  <c r="D253" i="7"/>
  <c r="J253" i="7"/>
  <c r="E253" i="7"/>
  <c r="F253" i="7"/>
  <c r="G253" i="7"/>
  <c r="I253" i="7"/>
  <c r="L253" i="7"/>
  <c r="D254" i="7"/>
  <c r="F254" i="7"/>
  <c r="E254" i="7"/>
  <c r="H254" i="7"/>
  <c r="I254" i="7"/>
  <c r="D255" i="7"/>
  <c r="E255" i="7"/>
  <c r="F255" i="7"/>
  <c r="H255" i="7"/>
  <c r="I255" i="7"/>
  <c r="J255" i="7"/>
  <c r="K255" i="7"/>
  <c r="D256" i="7"/>
  <c r="H256" i="7"/>
  <c r="E256" i="7"/>
  <c r="G256" i="7"/>
  <c r="I256" i="7"/>
  <c r="K256" i="7"/>
  <c r="L256" i="7"/>
  <c r="D257" i="7"/>
  <c r="H257" i="7"/>
  <c r="E257" i="7"/>
  <c r="G257" i="7"/>
  <c r="K257" i="7"/>
  <c r="D258" i="7"/>
  <c r="J258" i="7"/>
  <c r="E258" i="7"/>
  <c r="F258" i="7"/>
  <c r="I258" i="7"/>
  <c r="K258" i="7"/>
  <c r="D259" i="7"/>
  <c r="H259" i="7"/>
  <c r="E259" i="7"/>
  <c r="K259" i="7"/>
  <c r="F259" i="7"/>
  <c r="I259" i="7"/>
  <c r="J259" i="7"/>
  <c r="D260" i="7"/>
  <c r="I260" i="7"/>
  <c r="E260" i="7"/>
  <c r="L260" i="7"/>
  <c r="F260" i="7"/>
  <c r="G260" i="7"/>
  <c r="H260" i="7"/>
  <c r="J260" i="7"/>
  <c r="K260" i="7"/>
  <c r="D261" i="7"/>
  <c r="J261" i="7"/>
  <c r="E261" i="7"/>
  <c r="F261" i="7"/>
  <c r="G261" i="7"/>
  <c r="H261" i="7"/>
  <c r="I261" i="7"/>
  <c r="K261" i="7"/>
  <c r="L261" i="7"/>
  <c r="D262" i="7"/>
  <c r="F262" i="7"/>
  <c r="E262" i="7"/>
  <c r="G262" i="7"/>
  <c r="H262" i="7"/>
  <c r="J262" i="7"/>
  <c r="D263" i="7"/>
  <c r="E263" i="7"/>
  <c r="F263" i="7"/>
  <c r="H263" i="7"/>
  <c r="I263" i="7"/>
  <c r="J263" i="7"/>
  <c r="D264" i="7"/>
  <c r="H264" i="7"/>
  <c r="E264" i="7"/>
  <c r="G264" i="7"/>
  <c r="J264" i="7"/>
  <c r="D265" i="7"/>
  <c r="H265" i="7"/>
  <c r="E265" i="7"/>
  <c r="G265" i="7"/>
  <c r="J265" i="7"/>
  <c r="D266" i="7"/>
  <c r="J266" i="7"/>
  <c r="E266" i="7"/>
  <c r="F266" i="7"/>
  <c r="H266" i="7"/>
  <c r="I266" i="7"/>
  <c r="L266" i="7"/>
  <c r="D267" i="7"/>
  <c r="H267" i="7"/>
  <c r="E267" i="7"/>
  <c r="F267" i="7"/>
  <c r="I267" i="7"/>
  <c r="D268" i="7"/>
  <c r="I268" i="7"/>
  <c r="E268" i="7"/>
  <c r="L268" i="7"/>
  <c r="F268" i="7"/>
  <c r="G268" i="7"/>
  <c r="H268" i="7"/>
  <c r="J268" i="7"/>
  <c r="K268" i="7"/>
  <c r="D269" i="7"/>
  <c r="J269" i="7"/>
  <c r="E269" i="7"/>
  <c r="F269" i="7"/>
  <c r="G269" i="7"/>
  <c r="H269" i="7"/>
  <c r="K269" i="7"/>
  <c r="L269" i="7"/>
  <c r="D270" i="7"/>
  <c r="E270" i="7"/>
  <c r="K270" i="7"/>
  <c r="F270" i="7"/>
  <c r="H270" i="7"/>
  <c r="I270" i="7"/>
  <c r="J270" i="7"/>
  <c r="D271" i="7"/>
  <c r="E271" i="7"/>
  <c r="L271" i="7"/>
  <c r="F271" i="7"/>
  <c r="G271" i="7"/>
  <c r="H271" i="7"/>
  <c r="I271" i="7"/>
  <c r="J271" i="7"/>
  <c r="D272" i="7"/>
  <c r="E272" i="7"/>
  <c r="G272" i="7"/>
  <c r="L272" i="7"/>
  <c r="D273" i="7"/>
  <c r="F273" i="7"/>
  <c r="E273" i="7"/>
  <c r="K273" i="7"/>
  <c r="G273" i="7"/>
  <c r="I273" i="7"/>
  <c r="L273" i="7"/>
  <c r="D274" i="7"/>
  <c r="K274" i="7"/>
  <c r="E274" i="7"/>
  <c r="G274" i="7"/>
  <c r="F274" i="7"/>
  <c r="H274" i="7"/>
  <c r="J274" i="7"/>
  <c r="L274" i="7"/>
  <c r="D275" i="7"/>
  <c r="E275" i="7"/>
  <c r="G275" i="7"/>
  <c r="D276" i="7"/>
  <c r="I276" i="7"/>
  <c r="E276" i="7"/>
  <c r="G276" i="7"/>
  <c r="J276" i="7"/>
  <c r="D277" i="7"/>
  <c r="J277" i="7"/>
  <c r="E277" i="7"/>
  <c r="G277" i="7"/>
  <c r="K277" i="7"/>
  <c r="D278" i="7"/>
  <c r="I278" i="7"/>
  <c r="E278" i="7"/>
  <c r="F278" i="7"/>
  <c r="H278" i="7"/>
  <c r="J278" i="7"/>
  <c r="D279" i="7"/>
  <c r="E279" i="7"/>
  <c r="L279" i="7"/>
  <c r="F279" i="7"/>
  <c r="G279" i="7"/>
  <c r="H279" i="7"/>
  <c r="I279" i="7"/>
  <c r="J279" i="7"/>
  <c r="D280" i="7"/>
  <c r="J280" i="7"/>
  <c r="E280" i="7"/>
  <c r="F280" i="7"/>
  <c r="G280" i="7"/>
  <c r="I280" i="7"/>
  <c r="K280" i="7"/>
  <c r="L280" i="7"/>
  <c r="D281" i="7"/>
  <c r="F281" i="7"/>
  <c r="E281" i="7"/>
  <c r="G281" i="7"/>
  <c r="I281" i="7"/>
  <c r="J281" i="7"/>
  <c r="L281" i="7"/>
  <c r="D282" i="7"/>
  <c r="H282" i="7"/>
  <c r="E282" i="7"/>
  <c r="G282" i="7"/>
  <c r="F282" i="7"/>
  <c r="I282" i="7"/>
  <c r="L282" i="7"/>
  <c r="D283" i="7"/>
  <c r="H283" i="7"/>
  <c r="E283" i="7"/>
  <c r="F283" i="7"/>
  <c r="G283" i="7"/>
  <c r="J283" i="7"/>
  <c r="L283" i="7"/>
  <c r="D284" i="7"/>
  <c r="E284" i="7"/>
  <c r="G284" i="7"/>
  <c r="D285" i="7"/>
  <c r="J285" i="7"/>
  <c r="E285" i="7"/>
  <c r="K285" i="7"/>
  <c r="G285" i="7"/>
  <c r="I285" i="7"/>
  <c r="D286" i="7"/>
  <c r="J286" i="7"/>
  <c r="E286" i="7"/>
  <c r="F286" i="7"/>
  <c r="G286" i="7"/>
  <c r="I286" i="7"/>
  <c r="K286" i="7"/>
  <c r="L286" i="7"/>
  <c r="D287" i="7"/>
  <c r="F287" i="7"/>
  <c r="E287" i="7"/>
  <c r="K287" i="7"/>
  <c r="G287" i="7"/>
  <c r="J287" i="7"/>
  <c r="L287" i="7"/>
  <c r="D288" i="7"/>
  <c r="J288" i="7"/>
  <c r="E288" i="7"/>
  <c r="L288" i="7"/>
  <c r="F288" i="7"/>
  <c r="H288" i="7"/>
  <c r="I288" i="7"/>
  <c r="K288" i="7"/>
  <c r="D289" i="7"/>
  <c r="E289" i="7"/>
  <c r="G289" i="7"/>
  <c r="L289" i="7"/>
  <c r="D290" i="7"/>
  <c r="I290" i="7"/>
  <c r="E290" i="7"/>
  <c r="F290" i="7"/>
  <c r="H290" i="7"/>
  <c r="J290" i="7"/>
  <c r="D291" i="7"/>
  <c r="I291" i="7"/>
  <c r="E291" i="7"/>
  <c r="F291" i="7"/>
  <c r="G291" i="7"/>
  <c r="H291" i="7"/>
  <c r="K291" i="7"/>
  <c r="L291" i="7"/>
  <c r="D292" i="7"/>
  <c r="H292" i="7"/>
  <c r="E292" i="7"/>
  <c r="G292" i="7"/>
  <c r="I292" i="7"/>
  <c r="L292" i="7"/>
  <c r="D293" i="7"/>
  <c r="E293" i="7"/>
  <c r="K293" i="7"/>
  <c r="F293" i="7"/>
  <c r="H293" i="7"/>
  <c r="I293" i="7"/>
  <c r="J293" i="7"/>
  <c r="D294" i="7"/>
  <c r="J294" i="7"/>
  <c r="E294" i="7"/>
  <c r="F294" i="7"/>
  <c r="G294" i="7"/>
  <c r="I294" i="7"/>
  <c r="K294" i="7"/>
  <c r="L294" i="7"/>
  <c r="D295" i="7"/>
  <c r="F295" i="7"/>
  <c r="E295" i="7"/>
  <c r="K295" i="7"/>
  <c r="G295" i="7"/>
  <c r="J295" i="7"/>
  <c r="L295" i="7"/>
  <c r="D296" i="7"/>
  <c r="J296" i="7"/>
  <c r="E296" i="7"/>
  <c r="L296" i="7"/>
  <c r="F296" i="7"/>
  <c r="H296" i="7"/>
  <c r="I296" i="7"/>
  <c r="K296" i="7"/>
  <c r="D297" i="7"/>
  <c r="E297" i="7"/>
  <c r="K297" i="7"/>
  <c r="G297" i="7"/>
  <c r="D298" i="7"/>
  <c r="I298" i="7"/>
  <c r="E298" i="7"/>
  <c r="F298" i="7"/>
  <c r="G298" i="7"/>
  <c r="H298" i="7"/>
  <c r="J298" i="7"/>
  <c r="D299" i="7"/>
  <c r="I299" i="7"/>
  <c r="E299" i="7"/>
  <c r="F299" i="7"/>
  <c r="G299" i="7"/>
  <c r="H299" i="7"/>
  <c r="K299" i="7"/>
  <c r="L299" i="7"/>
  <c r="D300" i="7"/>
  <c r="H300" i="7"/>
  <c r="E300" i="7"/>
  <c r="G300" i="7"/>
  <c r="I300" i="7"/>
  <c r="L300" i="7"/>
  <c r="D301" i="7"/>
  <c r="E301" i="7"/>
  <c r="K301" i="7"/>
  <c r="F301" i="7"/>
  <c r="H301" i="7"/>
  <c r="I301" i="7"/>
  <c r="J301" i="7"/>
  <c r="D302" i="7"/>
  <c r="J302" i="7"/>
  <c r="E302" i="7"/>
  <c r="F302" i="7"/>
  <c r="G302" i="7"/>
  <c r="I302" i="7"/>
  <c r="K302" i="7"/>
  <c r="L302" i="7"/>
  <c r="D303" i="7"/>
  <c r="E303" i="7"/>
  <c r="K303" i="7"/>
  <c r="G303" i="7"/>
  <c r="J303" i="7"/>
  <c r="D304" i="7"/>
  <c r="J304" i="7"/>
  <c r="E304" i="7"/>
  <c r="F304" i="7"/>
  <c r="H304" i="7"/>
  <c r="I304" i="7"/>
  <c r="D305" i="7"/>
  <c r="E305" i="7"/>
  <c r="F305" i="7"/>
  <c r="G305" i="7"/>
  <c r="I305" i="7"/>
  <c r="D306" i="7"/>
  <c r="I306" i="7"/>
  <c r="E306" i="7"/>
  <c r="F306" i="7"/>
  <c r="G306" i="7"/>
  <c r="H306" i="7"/>
  <c r="J306" i="7"/>
  <c r="D307" i="7"/>
  <c r="I307" i="7"/>
  <c r="E307" i="7"/>
  <c r="F307" i="7"/>
  <c r="G307" i="7"/>
  <c r="H307" i="7"/>
  <c r="K307" i="7"/>
  <c r="L307" i="7"/>
  <c r="D308" i="7"/>
  <c r="E308" i="7"/>
  <c r="G308" i="7"/>
  <c r="D309" i="7"/>
  <c r="E309" i="7"/>
  <c r="F309" i="7"/>
  <c r="H309" i="7"/>
  <c r="I309" i="7"/>
  <c r="J309" i="7"/>
  <c r="D310" i="7"/>
  <c r="J310" i="7"/>
  <c r="E310" i="7"/>
  <c r="F310" i="7"/>
  <c r="G310" i="7"/>
  <c r="I310" i="7"/>
  <c r="K310" i="7"/>
  <c r="L310" i="7"/>
  <c r="D311" i="7"/>
  <c r="E311" i="7"/>
  <c r="K311" i="7"/>
  <c r="G311" i="7"/>
  <c r="H311" i="7"/>
  <c r="J311" i="7"/>
  <c r="L311" i="7"/>
  <c r="D312" i="7"/>
  <c r="J312" i="7"/>
  <c r="E312" i="7"/>
  <c r="F312" i="7"/>
  <c r="H312" i="7"/>
  <c r="I312" i="7"/>
  <c r="K312" i="7"/>
  <c r="D313" i="7"/>
  <c r="H313" i="7"/>
  <c r="E313" i="7"/>
  <c r="K313" i="7"/>
  <c r="F313" i="7"/>
  <c r="G313" i="7"/>
  <c r="I313" i="7"/>
  <c r="D314" i="7"/>
  <c r="I314" i="7"/>
  <c r="E314" i="7"/>
  <c r="L314" i="7"/>
  <c r="F314" i="7"/>
  <c r="H314" i="7"/>
  <c r="J314" i="7"/>
  <c r="D315" i="7"/>
  <c r="E315" i="7"/>
  <c r="G315" i="7"/>
  <c r="D316" i="7"/>
  <c r="E316" i="7"/>
  <c r="G316" i="7"/>
  <c r="I316" i="7"/>
  <c r="L316" i="7"/>
  <c r="D317" i="7"/>
  <c r="E317" i="7"/>
  <c r="F317" i="7"/>
  <c r="H317" i="7"/>
  <c r="I317" i="7"/>
  <c r="J317" i="7"/>
  <c r="D318" i="7"/>
  <c r="J318" i="7"/>
  <c r="E318" i="7"/>
  <c r="F318" i="7"/>
  <c r="G318" i="7"/>
  <c r="I318" i="7"/>
  <c r="K318" i="7"/>
  <c r="L318" i="7"/>
  <c r="D319" i="7"/>
  <c r="E319" i="7"/>
  <c r="K319" i="7"/>
  <c r="G319" i="7"/>
  <c r="H319" i="7"/>
  <c r="D320" i="7"/>
  <c r="J320" i="7"/>
  <c r="E320" i="7"/>
  <c r="F320" i="7"/>
  <c r="H320" i="7"/>
  <c r="I320" i="7"/>
  <c r="D321" i="7"/>
  <c r="E321" i="7"/>
  <c r="G321" i="7"/>
  <c r="D322" i="7"/>
  <c r="I322" i="7"/>
  <c r="E322" i="7"/>
  <c r="L322" i="7"/>
  <c r="F322" i="7"/>
  <c r="G322" i="7"/>
  <c r="H322" i="7"/>
  <c r="J322" i="7"/>
  <c r="D323" i="7"/>
  <c r="J323" i="7"/>
  <c r="E323" i="7"/>
  <c r="F323" i="7"/>
  <c r="G323" i="7"/>
  <c r="D324" i="7"/>
  <c r="E324" i="7"/>
  <c r="G324" i="7"/>
  <c r="I324" i="7"/>
  <c r="J324" i="7"/>
  <c r="L324" i="7"/>
  <c r="D325" i="7"/>
  <c r="E325" i="7"/>
  <c r="F325" i="7"/>
  <c r="H325" i="7"/>
  <c r="I325" i="7"/>
  <c r="J325" i="7"/>
  <c r="D326" i="7"/>
  <c r="H326" i="7"/>
  <c r="E326" i="7"/>
  <c r="G326" i="7"/>
  <c r="J326" i="7"/>
  <c r="L326" i="7"/>
  <c r="D327" i="7"/>
  <c r="E327" i="7"/>
  <c r="L327" i="7"/>
  <c r="H327" i="7"/>
  <c r="J327" i="7"/>
  <c r="K327" i="7"/>
  <c r="D328" i="7"/>
  <c r="J328" i="7"/>
  <c r="E328" i="7"/>
  <c r="F328" i="7"/>
  <c r="D329" i="7"/>
  <c r="H329" i="7"/>
  <c r="E329" i="7"/>
  <c r="K329" i="7"/>
  <c r="F329" i="7"/>
  <c r="G329" i="7"/>
  <c r="I329" i="7"/>
  <c r="J329" i="7"/>
  <c r="L329" i="7"/>
  <c r="D330" i="7"/>
  <c r="I330" i="7"/>
  <c r="E330" i="7"/>
  <c r="L330" i="7"/>
  <c r="F330" i="7"/>
  <c r="G330" i="7"/>
  <c r="H330" i="7"/>
  <c r="J330" i="7"/>
  <c r="D331" i="7"/>
  <c r="J331" i="7"/>
  <c r="E331" i="7"/>
  <c r="F331" i="7"/>
  <c r="G331" i="7"/>
  <c r="H331" i="7"/>
  <c r="I331" i="7"/>
  <c r="K331" i="7"/>
  <c r="L331" i="7"/>
  <c r="D332" i="7"/>
  <c r="F332" i="7"/>
  <c r="E332" i="7"/>
  <c r="K332" i="7"/>
  <c r="H332" i="7"/>
  <c r="D333" i="7"/>
  <c r="E333" i="7"/>
  <c r="F333" i="7"/>
  <c r="H333" i="7"/>
  <c r="I333" i="7"/>
  <c r="J333" i="7"/>
  <c r="K333" i="7"/>
  <c r="D334" i="7"/>
  <c r="H334" i="7"/>
  <c r="E334" i="7"/>
  <c r="F334" i="7"/>
  <c r="G334" i="7"/>
  <c r="L334" i="7"/>
  <c r="D335" i="7"/>
  <c r="E335" i="7"/>
  <c r="G335" i="7"/>
  <c r="H335" i="7"/>
  <c r="J335" i="7"/>
  <c r="K335" i="7"/>
  <c r="L335" i="7"/>
  <c r="D336" i="7"/>
  <c r="J336" i="7"/>
  <c r="E336" i="7"/>
  <c r="F336" i="7"/>
  <c r="I336" i="7"/>
  <c r="D337" i="7"/>
  <c r="H337" i="7"/>
  <c r="E337" i="7"/>
  <c r="J337" i="7"/>
  <c r="D338" i="7"/>
  <c r="I338" i="7"/>
  <c r="E338" i="7"/>
  <c r="L338" i="7"/>
  <c r="F338" i="7"/>
  <c r="G338" i="7"/>
  <c r="H338" i="7"/>
  <c r="J338" i="7"/>
  <c r="D339" i="7"/>
  <c r="J339" i="7"/>
  <c r="E339" i="7"/>
  <c r="G339" i="7"/>
  <c r="I339" i="7"/>
  <c r="L339" i="7"/>
  <c r="D340" i="7"/>
  <c r="F340" i="7"/>
  <c r="E340" i="7"/>
  <c r="K340" i="7"/>
  <c r="H340" i="7"/>
  <c r="I340" i="7"/>
  <c r="J340" i="7"/>
  <c r="D341" i="7"/>
  <c r="E341" i="7"/>
  <c r="F341" i="7"/>
  <c r="H341" i="7"/>
  <c r="I341" i="7"/>
  <c r="J341" i="7"/>
  <c r="D342" i="7"/>
  <c r="H342" i="7"/>
  <c r="E342" i="7"/>
  <c r="F342" i="7"/>
  <c r="G342" i="7"/>
  <c r="I342" i="7"/>
  <c r="J342" i="7"/>
  <c r="G21" i="5"/>
  <c r="H21" i="5"/>
  <c r="G22" i="5"/>
  <c r="G25" i="5"/>
  <c r="G26" i="5"/>
  <c r="G27" i="5"/>
  <c r="G28" i="5"/>
  <c r="H28" i="5"/>
  <c r="G30" i="5"/>
  <c r="G31" i="5"/>
  <c r="P32" i="5"/>
  <c r="R32" i="5" s="1"/>
  <c r="T32" i="5" s="1"/>
  <c r="G32" i="5"/>
  <c r="H32" i="5"/>
  <c r="G40" i="5"/>
  <c r="F42" i="5"/>
  <c r="G42" i="5"/>
  <c r="F43" i="5"/>
  <c r="F44" i="5"/>
  <c r="E46" i="5"/>
  <c r="F46" i="5"/>
  <c r="G46" i="5"/>
  <c r="K46" i="5"/>
  <c r="P59" i="5"/>
  <c r="R59" i="5" s="1"/>
  <c r="T59" i="5" s="1"/>
  <c r="C17" i="5"/>
  <c r="Q21" i="5"/>
  <c r="H22" i="5"/>
  <c r="Q22" i="5"/>
  <c r="Q23" i="5"/>
  <c r="Q24" i="5"/>
  <c r="Q25" i="5"/>
  <c r="H26" i="5"/>
  <c r="Q26" i="5"/>
  <c r="Q27" i="5"/>
  <c r="Q28" i="5"/>
  <c r="Q29" i="5"/>
  <c r="H30" i="5"/>
  <c r="Q30" i="5"/>
  <c r="Q31" i="5"/>
  <c r="Q32" i="5"/>
  <c r="Q33" i="5"/>
  <c r="Q34" i="5"/>
  <c r="Q35" i="5"/>
  <c r="Q36" i="5"/>
  <c r="Q37" i="5"/>
  <c r="Q38" i="5"/>
  <c r="Q39" i="5"/>
  <c r="J40" i="5"/>
  <c r="Q40" i="5"/>
  <c r="Q41" i="5"/>
  <c r="I42" i="5"/>
  <c r="Q42" i="5"/>
  <c r="Q43" i="5"/>
  <c r="Q44" i="5"/>
  <c r="Q46" i="5"/>
  <c r="Q50" i="5"/>
  <c r="Q53" i="5"/>
  <c r="Q54" i="5"/>
  <c r="Q55" i="5"/>
  <c r="Q56" i="5"/>
  <c r="Q57" i="5"/>
  <c r="Q58" i="5"/>
  <c r="Q59" i="5"/>
  <c r="Q60" i="5"/>
  <c r="Q61" i="5"/>
  <c r="Q62" i="5"/>
  <c r="Q63" i="5"/>
  <c r="Q64" i="5"/>
  <c r="Q67" i="5"/>
  <c r="Q68" i="5"/>
  <c r="Q69" i="5"/>
  <c r="Q70" i="5"/>
  <c r="Q71" i="5"/>
  <c r="Q72" i="5"/>
  <c r="Q73" i="5"/>
  <c r="Q74" i="5"/>
  <c r="Q75" i="5"/>
  <c r="Q76" i="5"/>
  <c r="Q77" i="5"/>
  <c r="Q80" i="5"/>
  <c r="Q81" i="5"/>
  <c r="Q82" i="5"/>
  <c r="Q83" i="5"/>
  <c r="Q85" i="5"/>
  <c r="Q86" i="5"/>
  <c r="Q87" i="5"/>
  <c r="Q88" i="5"/>
  <c r="Q89" i="5"/>
  <c r="Q90" i="5"/>
  <c r="Q91" i="5"/>
  <c r="Q94" i="5"/>
  <c r="Q97" i="5"/>
  <c r="Q100" i="5"/>
  <c r="Q102" i="5"/>
  <c r="Q104" i="5"/>
  <c r="Q106" i="5"/>
  <c r="N16" i="8"/>
  <c r="N15" i="8"/>
  <c r="O16" i="8"/>
  <c r="O15" i="8"/>
  <c r="G4" i="8"/>
  <c r="P16" i="8"/>
  <c r="P15" i="8"/>
  <c r="G5" i="8"/>
  <c r="Q16" i="8"/>
  <c r="Q15" i="8"/>
  <c r="G6" i="8"/>
  <c r="G7" i="8"/>
  <c r="E16" i="8"/>
  <c r="E15" i="8"/>
  <c r="E12" i="8"/>
  <c r="M16" i="8"/>
  <c r="M15" i="8"/>
  <c r="D16" i="8"/>
  <c r="D15" i="8"/>
  <c r="H16" i="2"/>
  <c r="H15" i="2"/>
  <c r="H12" i="2"/>
  <c r="J16" i="2"/>
  <c r="J15" i="2"/>
  <c r="I16" i="2"/>
  <c r="I15" i="2"/>
  <c r="F16" i="2"/>
  <c r="F15" i="2"/>
  <c r="G16" i="2"/>
  <c r="G15" i="2"/>
  <c r="K16" i="2"/>
  <c r="K15" i="2"/>
  <c r="L16" i="2"/>
  <c r="L15" i="2"/>
  <c r="L12" i="2"/>
  <c r="C16" i="2"/>
  <c r="C15" i="2"/>
  <c r="N16" i="2"/>
  <c r="N15" i="2"/>
  <c r="N12" i="2"/>
  <c r="O16" i="2"/>
  <c r="O15" i="2"/>
  <c r="G4" i="2"/>
  <c r="P16" i="2"/>
  <c r="P15" i="2"/>
  <c r="G5" i="2"/>
  <c r="Q16" i="2"/>
  <c r="Q15" i="2"/>
  <c r="Q12" i="2"/>
  <c r="G6" i="2"/>
  <c r="G7" i="2"/>
  <c r="E16" i="2"/>
  <c r="E15" i="2"/>
  <c r="M16" i="2"/>
  <c r="M15" i="2"/>
  <c r="M12" i="2"/>
  <c r="D16" i="2"/>
  <c r="D15" i="2"/>
  <c r="D12" i="2"/>
  <c r="W2" i="1"/>
  <c r="W5" i="1"/>
  <c r="W7" i="1"/>
  <c r="W10" i="1"/>
  <c r="W13" i="1"/>
  <c r="P65" i="1"/>
  <c r="R65" i="1" s="1"/>
  <c r="T65" i="1" s="1"/>
  <c r="F66" i="1"/>
  <c r="G66" i="1"/>
  <c r="J66" i="1"/>
  <c r="P69" i="1"/>
  <c r="R69" i="1" s="1"/>
  <c r="T69" i="1" s="1"/>
  <c r="P70" i="1"/>
  <c r="R70" i="1" s="1"/>
  <c r="T70" i="1" s="1"/>
  <c r="P71" i="1"/>
  <c r="R71" i="1" s="1"/>
  <c r="T71" i="1" s="1"/>
  <c r="P54" i="1"/>
  <c r="R54" i="1" s="1"/>
  <c r="T54" i="1" s="1"/>
  <c r="P61" i="1"/>
  <c r="R61" i="1" s="1"/>
  <c r="T61" i="1" s="1"/>
  <c r="P55" i="1"/>
  <c r="R55" i="1" s="1"/>
  <c r="T55" i="1" s="1"/>
  <c r="P34" i="1"/>
  <c r="R34" i="1" s="1"/>
  <c r="T34" i="1" s="1"/>
  <c r="P35" i="1"/>
  <c r="R35" i="1" s="1"/>
  <c r="T35" i="1" s="1"/>
  <c r="P36" i="1"/>
  <c r="R36" i="1" s="1"/>
  <c r="T36" i="1" s="1"/>
  <c r="P39" i="1"/>
  <c r="R39" i="1" s="1"/>
  <c r="T39" i="1" s="1"/>
  <c r="P40" i="1"/>
  <c r="R40" i="1" s="1"/>
  <c r="T40" i="1" s="1"/>
  <c r="P41" i="1"/>
  <c r="R41" i="1" s="1"/>
  <c r="T41" i="1" s="1"/>
  <c r="P46" i="1"/>
  <c r="R46" i="1" s="1"/>
  <c r="T46" i="1" s="1"/>
  <c r="P47" i="1"/>
  <c r="R47" i="1" s="1"/>
  <c r="T47" i="1" s="1"/>
  <c r="P48" i="1"/>
  <c r="R48" i="1" s="1"/>
  <c r="T48" i="1" s="1"/>
  <c r="P53" i="1"/>
  <c r="R53" i="1" s="1"/>
  <c r="T53" i="1" s="1"/>
  <c r="P84" i="1"/>
  <c r="R84" i="1" s="1"/>
  <c r="T84" i="1" s="1"/>
  <c r="P85" i="1"/>
  <c r="R85" i="1" s="1"/>
  <c r="T85" i="1" s="1"/>
  <c r="P77" i="1"/>
  <c r="R77" i="1" s="1"/>
  <c r="T77" i="1" s="1"/>
  <c r="P78" i="1"/>
  <c r="R78" i="1" s="1"/>
  <c r="T78" i="1" s="1"/>
  <c r="P33" i="1"/>
  <c r="R33" i="1" s="1"/>
  <c r="T33" i="1" s="1"/>
  <c r="D16" i="1"/>
  <c r="D19" i="1" s="1"/>
  <c r="F16" i="1"/>
  <c r="F17" i="1" s="1"/>
  <c r="C17" i="1"/>
  <c r="W19" i="1"/>
  <c r="J62" i="1"/>
  <c r="Q62" i="1"/>
  <c r="J63" i="1"/>
  <c r="Q63" i="1"/>
  <c r="J64" i="1"/>
  <c r="Q64" i="1"/>
  <c r="J65" i="1"/>
  <c r="Q65" i="1"/>
  <c r="Q66" i="1"/>
  <c r="Q21" i="1"/>
  <c r="J67" i="1"/>
  <c r="Q67" i="1"/>
  <c r="J68" i="1"/>
  <c r="Q68" i="1"/>
  <c r="Q69" i="1"/>
  <c r="Q70" i="1"/>
  <c r="Q71" i="1"/>
  <c r="Q72" i="1"/>
  <c r="Q73" i="1"/>
  <c r="Q74" i="1"/>
  <c r="Q75" i="1"/>
  <c r="Q76" i="1"/>
  <c r="Q29" i="1"/>
  <c r="Q54" i="1"/>
  <c r="Q61" i="1"/>
  <c r="Q55" i="1"/>
  <c r="Q56" i="1"/>
  <c r="Q57" i="1"/>
  <c r="Q30" i="1"/>
  <c r="Q31" i="1"/>
  <c r="Q32" i="1"/>
  <c r="Q34" i="1"/>
  <c r="Q35" i="1"/>
  <c r="Q36" i="1"/>
  <c r="Q58" i="1"/>
  <c r="Q59" i="1"/>
  <c r="Q37" i="1"/>
  <c r="Q80" i="1"/>
  <c r="Q38" i="1"/>
  <c r="Q39" i="1"/>
  <c r="Q40" i="1"/>
  <c r="Q41" i="1"/>
  <c r="Q42" i="1"/>
  <c r="Q43" i="1"/>
  <c r="Q81" i="1"/>
  <c r="Q44" i="1"/>
  <c r="Q45" i="1"/>
  <c r="Q46" i="1"/>
  <c r="Q47" i="1"/>
  <c r="Q48" i="1"/>
  <c r="Q49" i="1"/>
  <c r="Q50" i="1"/>
  <c r="Q82" i="1"/>
  <c r="Q83" i="1"/>
  <c r="Q52" i="1"/>
  <c r="Q53" i="1"/>
  <c r="Q84" i="1"/>
  <c r="Q85" i="1"/>
  <c r="Q86" i="1"/>
  <c r="Q87" i="1"/>
  <c r="Q88" i="1"/>
  <c r="Q89" i="1"/>
  <c r="Q90" i="1"/>
  <c r="Q77" i="1"/>
  <c r="Q78" i="1"/>
  <c r="Q33" i="1"/>
  <c r="G113" i="13"/>
  <c r="K113" i="13"/>
  <c r="G49" i="12"/>
  <c r="N49" i="12"/>
  <c r="P49" i="12"/>
  <c r="P94" i="13"/>
  <c r="R94" i="13" s="1"/>
  <c r="T94" i="13" s="1"/>
  <c r="F73" i="13"/>
  <c r="U73" i="5"/>
  <c r="L341" i="7"/>
  <c r="G341" i="7"/>
  <c r="K341" i="7"/>
  <c r="G67" i="12"/>
  <c r="K67" i="12"/>
  <c r="P67" i="12"/>
  <c r="I12" i="2"/>
  <c r="Q12" i="8"/>
  <c r="H25" i="5"/>
  <c r="G103" i="13"/>
  <c r="K103" i="13"/>
  <c r="P103" i="13"/>
  <c r="I315" i="7"/>
  <c r="J315" i="7"/>
  <c r="F315" i="7"/>
  <c r="H315" i="7"/>
  <c r="K315" i="7"/>
  <c r="L315" i="7"/>
  <c r="L252" i="7"/>
  <c r="G252" i="7"/>
  <c r="K252" i="7"/>
  <c r="E12" i="2"/>
  <c r="D12" i="8"/>
  <c r="H31" i="5"/>
  <c r="H27" i="5"/>
  <c r="G63" i="12"/>
  <c r="N63" i="12"/>
  <c r="P63" i="12"/>
  <c r="G35" i="5"/>
  <c r="J35" i="5"/>
  <c r="G28" i="1"/>
  <c r="H28" i="1"/>
  <c r="D15" i="1"/>
  <c r="C19" i="1" s="1"/>
  <c r="J12" i="2"/>
  <c r="O12" i="8"/>
  <c r="P12" i="8"/>
  <c r="H321" i="7"/>
  <c r="F321" i="7"/>
  <c r="I321" i="7"/>
  <c r="J321" i="7"/>
  <c r="L321" i="7"/>
  <c r="P12" i="2"/>
  <c r="O12" i="2"/>
  <c r="K12" i="2"/>
  <c r="M12" i="8"/>
  <c r="G177" i="7"/>
  <c r="K177" i="7"/>
  <c r="L177" i="7"/>
  <c r="G12" i="2"/>
  <c r="K337" i="7"/>
  <c r="G337" i="7"/>
  <c r="L337" i="7"/>
  <c r="F208" i="7"/>
  <c r="H208" i="7"/>
  <c r="I208" i="7"/>
  <c r="J208" i="7"/>
  <c r="K208" i="7"/>
  <c r="L208" i="7"/>
  <c r="N12" i="8"/>
  <c r="H336" i="7"/>
  <c r="G332" i="7"/>
  <c r="G328" i="7"/>
  <c r="L320" i="7"/>
  <c r="G320" i="7"/>
  <c r="K309" i="7"/>
  <c r="L309" i="7"/>
  <c r="G309" i="7"/>
  <c r="K308" i="7"/>
  <c r="H297" i="7"/>
  <c r="I297" i="7"/>
  <c r="J297" i="7"/>
  <c r="I284" i="7"/>
  <c r="F284" i="7"/>
  <c r="H284" i="7"/>
  <c r="J284" i="7"/>
  <c r="K284" i="7"/>
  <c r="J250" i="7"/>
  <c r="F250" i="7"/>
  <c r="H250" i="7"/>
  <c r="I250" i="7"/>
  <c r="K250" i="7"/>
  <c r="L250" i="7"/>
  <c r="G169" i="7"/>
  <c r="K169" i="7"/>
  <c r="L169" i="7"/>
  <c r="C12" i="2"/>
  <c r="G44" i="5"/>
  <c r="I44" i="5"/>
  <c r="H308" i="7"/>
  <c r="J308" i="7"/>
  <c r="F308" i="7"/>
  <c r="K298" i="7"/>
  <c r="L298" i="7"/>
  <c r="G161" i="7"/>
  <c r="K161" i="7"/>
  <c r="L161" i="7"/>
  <c r="G340" i="7"/>
  <c r="K339" i="7"/>
  <c r="G336" i="7"/>
  <c r="G327" i="7"/>
  <c r="K326" i="7"/>
  <c r="L323" i="7"/>
  <c r="F319" i="7"/>
  <c r="I319" i="7"/>
  <c r="K306" i="7"/>
  <c r="L306" i="7"/>
  <c r="K305" i="7"/>
  <c r="L304" i="7"/>
  <c r="G304" i="7"/>
  <c r="F303" i="7"/>
  <c r="H303" i="7"/>
  <c r="I303" i="7"/>
  <c r="K289" i="7"/>
  <c r="H235" i="7"/>
  <c r="J235" i="7"/>
  <c r="F235" i="7"/>
  <c r="I235" i="7"/>
  <c r="L235" i="7"/>
  <c r="L328" i="7"/>
  <c r="L325" i="7"/>
  <c r="G325" i="7"/>
  <c r="K323" i="7"/>
  <c r="K314" i="7"/>
  <c r="L312" i="7"/>
  <c r="G312" i="7"/>
  <c r="H305" i="7"/>
  <c r="J305" i="7"/>
  <c r="F289" i="7"/>
  <c r="H289" i="7"/>
  <c r="I289" i="7"/>
  <c r="J289" i="7"/>
  <c r="K254" i="7"/>
  <c r="G254" i="7"/>
  <c r="L254" i="7"/>
  <c r="F139" i="7"/>
  <c r="H139" i="7"/>
  <c r="I139" i="7"/>
  <c r="J139" i="7"/>
  <c r="K139" i="7"/>
  <c r="L139" i="7"/>
  <c r="F12" i="2"/>
  <c r="H339" i="7"/>
  <c r="I337" i="7"/>
  <c r="K334" i="7"/>
  <c r="L332" i="7"/>
  <c r="K330" i="7"/>
  <c r="K328" i="7"/>
  <c r="F327" i="7"/>
  <c r="I327" i="7"/>
  <c r="I326" i="7"/>
  <c r="I323" i="7"/>
  <c r="K320" i="7"/>
  <c r="L297" i="7"/>
  <c r="H275" i="7"/>
  <c r="F275" i="7"/>
  <c r="I275" i="7"/>
  <c r="J275" i="7"/>
  <c r="K275" i="7"/>
  <c r="F272" i="7"/>
  <c r="H272" i="7"/>
  <c r="I272" i="7"/>
  <c r="J272" i="7"/>
  <c r="K272" i="7"/>
  <c r="G234" i="7"/>
  <c r="K234" i="7"/>
  <c r="L234" i="7"/>
  <c r="L342" i="7"/>
  <c r="L336" i="7"/>
  <c r="J334" i="7"/>
  <c r="L333" i="7"/>
  <c r="G333" i="7"/>
  <c r="J332" i="7"/>
  <c r="I328" i="7"/>
  <c r="K324" i="7"/>
  <c r="H323" i="7"/>
  <c r="L319" i="7"/>
  <c r="K317" i="7"/>
  <c r="L317" i="7"/>
  <c r="G317" i="7"/>
  <c r="K316" i="7"/>
  <c r="L313" i="7"/>
  <c r="F311" i="7"/>
  <c r="I311" i="7"/>
  <c r="L308" i="7"/>
  <c r="K267" i="7"/>
  <c r="G267" i="7"/>
  <c r="L267" i="7"/>
  <c r="G193" i="7"/>
  <c r="K193" i="7"/>
  <c r="L193" i="7"/>
  <c r="K342" i="7"/>
  <c r="L340" i="7"/>
  <c r="F339" i="7"/>
  <c r="K338" i="7"/>
  <c r="F337" i="7"/>
  <c r="K336" i="7"/>
  <c r="F335" i="7"/>
  <c r="I335" i="7"/>
  <c r="I334" i="7"/>
  <c r="I332" i="7"/>
  <c r="H328" i="7"/>
  <c r="F326" i="7"/>
  <c r="K325" i="7"/>
  <c r="H324" i="7"/>
  <c r="F324" i="7"/>
  <c r="K322" i="7"/>
  <c r="K321" i="7"/>
  <c r="J319" i="7"/>
  <c r="H316" i="7"/>
  <c r="J316" i="7"/>
  <c r="F316" i="7"/>
  <c r="G314" i="7"/>
  <c r="J313" i="7"/>
  <c r="I308" i="7"/>
  <c r="L305" i="7"/>
  <c r="K304" i="7"/>
  <c r="L303" i="7"/>
  <c r="F297" i="7"/>
  <c r="G290" i="7"/>
  <c r="K290" i="7"/>
  <c r="L290" i="7"/>
  <c r="K278" i="7"/>
  <c r="G278" i="7"/>
  <c r="L278" i="7"/>
  <c r="G233" i="7"/>
  <c r="K233" i="7"/>
  <c r="L233" i="7"/>
  <c r="G185" i="7"/>
  <c r="K185" i="7"/>
  <c r="L185" i="7"/>
  <c r="H318" i="7"/>
  <c r="H310" i="7"/>
  <c r="H302" i="7"/>
  <c r="G301" i="7"/>
  <c r="F300" i="7"/>
  <c r="I295" i="7"/>
  <c r="H294" i="7"/>
  <c r="G293" i="7"/>
  <c r="F292" i="7"/>
  <c r="I287" i="7"/>
  <c r="H286" i="7"/>
  <c r="F285" i="7"/>
  <c r="L284" i="7"/>
  <c r="I283" i="7"/>
  <c r="K281" i="7"/>
  <c r="H280" i="7"/>
  <c r="I277" i="7"/>
  <c r="F276" i="7"/>
  <c r="L275" i="7"/>
  <c r="I274" i="7"/>
  <c r="G270" i="7"/>
  <c r="L265" i="7"/>
  <c r="F264" i="7"/>
  <c r="K263" i="7"/>
  <c r="L259" i="7"/>
  <c r="G258" i="7"/>
  <c r="J257" i="7"/>
  <c r="H253" i="7"/>
  <c r="I251" i="7"/>
  <c r="L246" i="7"/>
  <c r="F245" i="7"/>
  <c r="K244" i="7"/>
  <c r="F243" i="7"/>
  <c r="K242" i="7"/>
  <c r="L241" i="7"/>
  <c r="I234" i="7"/>
  <c r="J234" i="7"/>
  <c r="F233" i="7"/>
  <c r="H233" i="7"/>
  <c r="I233" i="7"/>
  <c r="H218" i="7"/>
  <c r="I218" i="7"/>
  <c r="J218" i="7"/>
  <c r="G201" i="7"/>
  <c r="K201" i="7"/>
  <c r="L201" i="7"/>
  <c r="F145" i="7"/>
  <c r="H145" i="7"/>
  <c r="I145" i="7"/>
  <c r="J145" i="7"/>
  <c r="K145" i="7"/>
  <c r="G142" i="7"/>
  <c r="K142" i="7"/>
  <c r="L142" i="7"/>
  <c r="H295" i="7"/>
  <c r="H287" i="7"/>
  <c r="H277" i="7"/>
  <c r="K265" i="7"/>
  <c r="K262" i="7"/>
  <c r="L247" i="7"/>
  <c r="G247" i="7"/>
  <c r="K243" i="7"/>
  <c r="H242" i="7"/>
  <c r="K241" i="7"/>
  <c r="F232" i="7"/>
  <c r="H232" i="7"/>
  <c r="K151" i="7"/>
  <c r="G151" i="7"/>
  <c r="L151" i="7"/>
  <c r="H148" i="7"/>
  <c r="F148" i="7"/>
  <c r="I148" i="7"/>
  <c r="J148" i="7"/>
  <c r="K148" i="7"/>
  <c r="L148" i="7"/>
  <c r="G266" i="7"/>
  <c r="F249" i="7"/>
  <c r="I249" i="7"/>
  <c r="L239" i="7"/>
  <c r="G239" i="7"/>
  <c r="G236" i="7"/>
  <c r="G226" i="7"/>
  <c r="F225" i="7"/>
  <c r="H225" i="7"/>
  <c r="I225" i="7"/>
  <c r="K219" i="7"/>
  <c r="L219" i="7"/>
  <c r="F216" i="7"/>
  <c r="H216" i="7"/>
  <c r="I216" i="7"/>
  <c r="K216" i="7"/>
  <c r="K211" i="7"/>
  <c r="L211" i="7"/>
  <c r="G209" i="7"/>
  <c r="K209" i="7"/>
  <c r="L209" i="7"/>
  <c r="L136" i="7"/>
  <c r="G136" i="7"/>
  <c r="K136" i="7"/>
  <c r="G133" i="7"/>
  <c r="K133" i="7"/>
  <c r="L133" i="7"/>
  <c r="F130" i="7"/>
  <c r="H130" i="7"/>
  <c r="I130" i="7"/>
  <c r="J130" i="7"/>
  <c r="K130" i="7"/>
  <c r="L130" i="7"/>
  <c r="J307" i="7"/>
  <c r="L301" i="7"/>
  <c r="K300" i="7"/>
  <c r="J299" i="7"/>
  <c r="G296" i="7"/>
  <c r="L293" i="7"/>
  <c r="K292" i="7"/>
  <c r="J291" i="7"/>
  <c r="G288" i="7"/>
  <c r="L285" i="7"/>
  <c r="K282" i="7"/>
  <c r="H281" i="7"/>
  <c r="K279" i="7"/>
  <c r="F277" i="7"/>
  <c r="L276" i="7"/>
  <c r="I269" i="7"/>
  <c r="J267" i="7"/>
  <c r="L264" i="7"/>
  <c r="G259" i="7"/>
  <c r="L258" i="7"/>
  <c r="J256" i="7"/>
  <c r="L255" i="7"/>
  <c r="G255" i="7"/>
  <c r="J254" i="7"/>
  <c r="K251" i="7"/>
  <c r="L245" i="7"/>
  <c r="G244" i="7"/>
  <c r="G242" i="7"/>
  <c r="J240" i="7"/>
  <c r="L232" i="7"/>
  <c r="K228" i="7"/>
  <c r="L228" i="7"/>
  <c r="K227" i="7"/>
  <c r="H226" i="7"/>
  <c r="I226" i="7"/>
  <c r="J226" i="7"/>
  <c r="F224" i="7"/>
  <c r="H224" i="7"/>
  <c r="G217" i="7"/>
  <c r="L217" i="7"/>
  <c r="J300" i="7"/>
  <c r="J292" i="7"/>
  <c r="J282" i="7"/>
  <c r="K276" i="7"/>
  <c r="J273" i="7"/>
  <c r="L270" i="7"/>
  <c r="K264" i="7"/>
  <c r="L262" i="7"/>
  <c r="F257" i="7"/>
  <c r="I257" i="7"/>
  <c r="L249" i="7"/>
  <c r="G246" i="7"/>
  <c r="K245" i="7"/>
  <c r="I242" i="7"/>
  <c r="J242" i="7"/>
  <c r="K236" i="7"/>
  <c r="L236" i="7"/>
  <c r="H227" i="7"/>
  <c r="I227" i="7"/>
  <c r="J227" i="7"/>
  <c r="F192" i="7"/>
  <c r="H192" i="7"/>
  <c r="I192" i="7"/>
  <c r="J192" i="7"/>
  <c r="K192" i="7"/>
  <c r="F184" i="7"/>
  <c r="H184" i="7"/>
  <c r="I184" i="7"/>
  <c r="J184" i="7"/>
  <c r="K184" i="7"/>
  <c r="F176" i="7"/>
  <c r="H176" i="7"/>
  <c r="I176" i="7"/>
  <c r="J176" i="7"/>
  <c r="K176" i="7"/>
  <c r="F168" i="7"/>
  <c r="H168" i="7"/>
  <c r="I168" i="7"/>
  <c r="J168" i="7"/>
  <c r="K168" i="7"/>
  <c r="F160" i="7"/>
  <c r="H160" i="7"/>
  <c r="I160" i="7"/>
  <c r="J160" i="7"/>
  <c r="K160" i="7"/>
  <c r="K114" i="7"/>
  <c r="G114" i="7"/>
  <c r="L114" i="7"/>
  <c r="L263" i="7"/>
  <c r="G263" i="7"/>
  <c r="F241" i="7"/>
  <c r="H241" i="7"/>
  <c r="I241" i="7"/>
  <c r="F200" i="7"/>
  <c r="H200" i="7"/>
  <c r="I200" i="7"/>
  <c r="J200" i="7"/>
  <c r="K200" i="7"/>
  <c r="L145" i="7"/>
  <c r="H127" i="7"/>
  <c r="F127" i="7"/>
  <c r="I127" i="7"/>
  <c r="J127" i="7"/>
  <c r="L127" i="7"/>
  <c r="H285" i="7"/>
  <c r="K283" i="7"/>
  <c r="L277" i="7"/>
  <c r="H276" i="7"/>
  <c r="H273" i="7"/>
  <c r="K271" i="7"/>
  <c r="K266" i="7"/>
  <c r="F265" i="7"/>
  <c r="I265" i="7"/>
  <c r="I264" i="7"/>
  <c r="I262" i="7"/>
  <c r="H258" i="7"/>
  <c r="L257" i="7"/>
  <c r="F256" i="7"/>
  <c r="K253" i="7"/>
  <c r="L251" i="7"/>
  <c r="G250" i="7"/>
  <c r="J249" i="7"/>
  <c r="H245" i="7"/>
  <c r="I243" i="7"/>
  <c r="F240" i="7"/>
  <c r="K235" i="7"/>
  <c r="F234" i="7"/>
  <c r="J233" i="7"/>
  <c r="I232" i="7"/>
  <c r="L225" i="7"/>
  <c r="K224" i="7"/>
  <c r="F218" i="7"/>
  <c r="L216" i="7"/>
  <c r="G204" i="7"/>
  <c r="F203" i="7"/>
  <c r="G196" i="7"/>
  <c r="G118" i="7"/>
  <c r="K106" i="7"/>
  <c r="L106" i="7"/>
  <c r="J102" i="7"/>
  <c r="F102" i="7"/>
  <c r="H102" i="7"/>
  <c r="L95" i="7"/>
  <c r="G95" i="7"/>
  <c r="L92" i="7"/>
  <c r="F92" i="7"/>
  <c r="H92" i="7"/>
  <c r="I92" i="7"/>
  <c r="G67" i="3"/>
  <c r="H67" i="3"/>
  <c r="O67" i="3"/>
  <c r="G126" i="7"/>
  <c r="L116" i="7"/>
  <c r="K103" i="7"/>
  <c r="G103" i="7"/>
  <c r="K99" i="7"/>
  <c r="J98" i="7"/>
  <c r="F98" i="7"/>
  <c r="H98" i="7"/>
  <c r="G33" i="7"/>
  <c r="G46" i="12"/>
  <c r="N46" i="12"/>
  <c r="P46" i="12"/>
  <c r="K218" i="7"/>
  <c r="J217" i="7"/>
  <c r="K210" i="7"/>
  <c r="J209" i="7"/>
  <c r="L203" i="7"/>
  <c r="K202" i="7"/>
  <c r="J201" i="7"/>
  <c r="L195" i="7"/>
  <c r="K194" i="7"/>
  <c r="J193" i="7"/>
  <c r="L187" i="7"/>
  <c r="K186" i="7"/>
  <c r="J185" i="7"/>
  <c r="L179" i="7"/>
  <c r="K178" i="7"/>
  <c r="J177" i="7"/>
  <c r="L171" i="7"/>
  <c r="K170" i="7"/>
  <c r="J169" i="7"/>
  <c r="L163" i="7"/>
  <c r="K162" i="7"/>
  <c r="J161" i="7"/>
  <c r="L155" i="7"/>
  <c r="J151" i="7"/>
  <c r="L146" i="7"/>
  <c r="L124" i="7"/>
  <c r="K116" i="7"/>
  <c r="H113" i="7"/>
  <c r="J113" i="7"/>
  <c r="K113" i="7"/>
  <c r="H105" i="7"/>
  <c r="J105" i="7"/>
  <c r="K105" i="7"/>
  <c r="F103" i="7"/>
  <c r="H103" i="7"/>
  <c r="I103" i="7"/>
  <c r="G42" i="7"/>
  <c r="G231" i="7"/>
  <c r="G223" i="7"/>
  <c r="L220" i="7"/>
  <c r="I217" i="7"/>
  <c r="G215" i="7"/>
  <c r="L212" i="7"/>
  <c r="J210" i="7"/>
  <c r="I209" i="7"/>
  <c r="G207" i="7"/>
  <c r="L204" i="7"/>
  <c r="K203" i="7"/>
  <c r="J202" i="7"/>
  <c r="I201" i="7"/>
  <c r="G199" i="7"/>
  <c r="L196" i="7"/>
  <c r="K195" i="7"/>
  <c r="J194" i="7"/>
  <c r="I193" i="7"/>
  <c r="G191" i="7"/>
  <c r="L188" i="7"/>
  <c r="K187" i="7"/>
  <c r="J186" i="7"/>
  <c r="I185" i="7"/>
  <c r="G183" i="7"/>
  <c r="L180" i="7"/>
  <c r="K179" i="7"/>
  <c r="J178" i="7"/>
  <c r="I177" i="7"/>
  <c r="G175" i="7"/>
  <c r="L172" i="7"/>
  <c r="K171" i="7"/>
  <c r="J170" i="7"/>
  <c r="I169" i="7"/>
  <c r="G167" i="7"/>
  <c r="L164" i="7"/>
  <c r="K163" i="7"/>
  <c r="J162" i="7"/>
  <c r="I161" i="7"/>
  <c r="G159" i="7"/>
  <c r="L156" i="7"/>
  <c r="K155" i="7"/>
  <c r="K152" i="7"/>
  <c r="I151" i="7"/>
  <c r="F150" i="7"/>
  <c r="L149" i="7"/>
  <c r="K146" i="7"/>
  <c r="I142" i="7"/>
  <c r="F141" i="7"/>
  <c r="L140" i="7"/>
  <c r="K137" i="7"/>
  <c r="G135" i="7"/>
  <c r="J133" i="7"/>
  <c r="F132" i="7"/>
  <c r="L131" i="7"/>
  <c r="F129" i="7"/>
  <c r="K124" i="7"/>
  <c r="L122" i="7"/>
  <c r="K120" i="7"/>
  <c r="L118" i="7"/>
  <c r="J116" i="7"/>
  <c r="G115" i="7"/>
  <c r="L115" i="7"/>
  <c r="J114" i="7"/>
  <c r="L112" i="7"/>
  <c r="G112" i="7"/>
  <c r="K111" i="7"/>
  <c r="L109" i="7"/>
  <c r="G109" i="7"/>
  <c r="L104" i="7"/>
  <c r="G104" i="7"/>
  <c r="K96" i="7"/>
  <c r="L96" i="7"/>
  <c r="K48" i="7"/>
  <c r="L48" i="7"/>
  <c r="H48" i="7"/>
  <c r="J48" i="7"/>
  <c r="I48" i="7"/>
  <c r="K220" i="7"/>
  <c r="J219" i="7"/>
  <c r="H217" i="7"/>
  <c r="K212" i="7"/>
  <c r="J211" i="7"/>
  <c r="I210" i="7"/>
  <c r="H209" i="7"/>
  <c r="K204" i="7"/>
  <c r="J203" i="7"/>
  <c r="I202" i="7"/>
  <c r="H201" i="7"/>
  <c r="K196" i="7"/>
  <c r="J195" i="7"/>
  <c r="I194" i="7"/>
  <c r="H193" i="7"/>
  <c r="K188" i="7"/>
  <c r="J187" i="7"/>
  <c r="I186" i="7"/>
  <c r="H185" i="7"/>
  <c r="K180" i="7"/>
  <c r="J179" i="7"/>
  <c r="I178" i="7"/>
  <c r="H177" i="7"/>
  <c r="K172" i="7"/>
  <c r="J171" i="7"/>
  <c r="I170" i="7"/>
  <c r="H169" i="7"/>
  <c r="K164" i="7"/>
  <c r="J163" i="7"/>
  <c r="I162" i="7"/>
  <c r="H161" i="7"/>
  <c r="K156" i="7"/>
  <c r="J155" i="7"/>
  <c r="H151" i="7"/>
  <c r="K149" i="7"/>
  <c r="J146" i="7"/>
  <c r="L143" i="7"/>
  <c r="H142" i="7"/>
  <c r="K140" i="7"/>
  <c r="J137" i="7"/>
  <c r="L134" i="7"/>
  <c r="H133" i="7"/>
  <c r="K131" i="7"/>
  <c r="K128" i="7"/>
  <c r="L126" i="7"/>
  <c r="J124" i="7"/>
  <c r="G123" i="7"/>
  <c r="L123" i="7"/>
  <c r="J122" i="7"/>
  <c r="K118" i="7"/>
  <c r="I117" i="7"/>
  <c r="F117" i="7"/>
  <c r="I116" i="7"/>
  <c r="I114" i="7"/>
  <c r="F111" i="7"/>
  <c r="H111" i="7"/>
  <c r="I111" i="7"/>
  <c r="J110" i="7"/>
  <c r="H110" i="7"/>
  <c r="L102" i="7"/>
  <c r="L99" i="7"/>
  <c r="L98" i="7"/>
  <c r="H93" i="7"/>
  <c r="F93" i="7"/>
  <c r="I93" i="7"/>
  <c r="J93" i="7"/>
  <c r="K93" i="7"/>
  <c r="L93" i="7"/>
  <c r="J53" i="7"/>
  <c r="I53" i="7"/>
  <c r="F53" i="7"/>
  <c r="H53" i="7"/>
  <c r="I219" i="7"/>
  <c r="I211" i="7"/>
  <c r="I203" i="7"/>
  <c r="I195" i="7"/>
  <c r="I187" i="7"/>
  <c r="I179" i="7"/>
  <c r="I171" i="7"/>
  <c r="I163" i="7"/>
  <c r="I155" i="7"/>
  <c r="J149" i="7"/>
  <c r="I146" i="7"/>
  <c r="J140" i="7"/>
  <c r="I137" i="7"/>
  <c r="K134" i="7"/>
  <c r="J131" i="7"/>
  <c r="K126" i="7"/>
  <c r="I125" i="7"/>
  <c r="F125" i="7"/>
  <c r="I124" i="7"/>
  <c r="I122" i="7"/>
  <c r="I118" i="7"/>
  <c r="H114" i="7"/>
  <c r="L113" i="7"/>
  <c r="H108" i="7"/>
  <c r="K108" i="7"/>
  <c r="F108" i="7"/>
  <c r="L105" i="7"/>
  <c r="K102" i="7"/>
  <c r="K98" i="7"/>
  <c r="F90" i="7"/>
  <c r="H90" i="7"/>
  <c r="I90" i="7"/>
  <c r="J90" i="7"/>
  <c r="K90" i="7"/>
  <c r="L12" i="7"/>
  <c r="G65" i="7"/>
  <c r="L150" i="7"/>
  <c r="H149" i="7"/>
  <c r="K147" i="7"/>
  <c r="H146" i="7"/>
  <c r="K144" i="7"/>
  <c r="F142" i="7"/>
  <c r="I140" i="7"/>
  <c r="I134" i="7"/>
  <c r="F133" i="7"/>
  <c r="K127" i="7"/>
  <c r="I126" i="7"/>
  <c r="H122" i="7"/>
  <c r="L121" i="7"/>
  <c r="H118" i="7"/>
  <c r="F116" i="7"/>
  <c r="K115" i="7"/>
  <c r="I113" i="7"/>
  <c r="K112" i="7"/>
  <c r="I105" i="7"/>
  <c r="K104" i="7"/>
  <c r="I102" i="7"/>
  <c r="I98" i="7"/>
  <c r="J92" i="7"/>
  <c r="G74" i="7"/>
  <c r="L74" i="7"/>
  <c r="K74" i="7"/>
  <c r="G101" i="7"/>
  <c r="I95" i="7"/>
  <c r="F94" i="7"/>
  <c r="G88" i="7"/>
  <c r="C12" i="7"/>
  <c r="G78" i="7"/>
  <c r="L78" i="7"/>
  <c r="K69" i="7"/>
  <c r="L69" i="7"/>
  <c r="G46" i="7"/>
  <c r="K46" i="7"/>
  <c r="L46" i="7"/>
  <c r="K37" i="7"/>
  <c r="L37" i="7"/>
  <c r="I58" i="7"/>
  <c r="F58" i="7"/>
  <c r="P50" i="3"/>
  <c r="R50" i="3"/>
  <c r="G50" i="3"/>
  <c r="H50" i="3"/>
  <c r="L42" i="2"/>
  <c r="G42" i="2"/>
  <c r="K42" i="2"/>
  <c r="G110" i="7"/>
  <c r="F109" i="7"/>
  <c r="L107" i="7"/>
  <c r="G102" i="7"/>
  <c r="F101" i="7"/>
  <c r="H95" i="7"/>
  <c r="F88" i="7"/>
  <c r="L34" i="7"/>
  <c r="K58" i="7"/>
  <c r="K41" i="7"/>
  <c r="L41" i="7"/>
  <c r="H75" i="7"/>
  <c r="J75" i="7"/>
  <c r="I75" i="7"/>
  <c r="F75" i="7"/>
  <c r="J69" i="7"/>
  <c r="I69" i="7"/>
  <c r="F69" i="7"/>
  <c r="I62" i="3"/>
  <c r="R62" i="3"/>
  <c r="G89" i="7"/>
  <c r="K77" i="7"/>
  <c r="L77" i="7"/>
  <c r="G54" i="7"/>
  <c r="G22" i="7"/>
  <c r="K22" i="7"/>
  <c r="L22" i="7"/>
  <c r="H74" i="7"/>
  <c r="J74" i="7"/>
  <c r="I74" i="7"/>
  <c r="F74" i="7"/>
  <c r="G68" i="3"/>
  <c r="H68" i="3"/>
  <c r="P68" i="3"/>
  <c r="R68" i="3"/>
  <c r="P21" i="12"/>
  <c r="R21" i="12" s="1"/>
  <c r="T21" i="12" s="1"/>
  <c r="D15" i="12"/>
  <c r="C19" i="12" s="1"/>
  <c r="G21" i="12"/>
  <c r="I21" i="12"/>
  <c r="F95" i="7"/>
  <c r="L94" i="7"/>
  <c r="K85" i="7"/>
  <c r="L85" i="7"/>
  <c r="L81" i="7"/>
  <c r="K49" i="7"/>
  <c r="L49" i="7"/>
  <c r="H27" i="7"/>
  <c r="J27" i="7"/>
  <c r="I27" i="7"/>
  <c r="F27" i="7"/>
  <c r="P77" i="3"/>
  <c r="R77" i="3"/>
  <c r="G77" i="3"/>
  <c r="K77" i="3"/>
  <c r="P53" i="3"/>
  <c r="G53" i="3"/>
  <c r="H53" i="3"/>
  <c r="G62" i="7"/>
  <c r="K53" i="7"/>
  <c r="L53" i="7"/>
  <c r="G30" i="7"/>
  <c r="K30" i="7"/>
  <c r="L30" i="7"/>
  <c r="K21" i="7"/>
  <c r="L21" i="7"/>
  <c r="J84" i="7"/>
  <c r="I84" i="7"/>
  <c r="F84" i="7"/>
  <c r="G72" i="3"/>
  <c r="K72" i="3"/>
  <c r="O72" i="3"/>
  <c r="H12" i="8"/>
  <c r="K57" i="7"/>
  <c r="L57" i="7"/>
  <c r="K25" i="7"/>
  <c r="L25" i="7"/>
  <c r="H43" i="7"/>
  <c r="J43" i="7"/>
  <c r="I43" i="7"/>
  <c r="F43" i="7"/>
  <c r="J37" i="7"/>
  <c r="I37" i="7"/>
  <c r="F37" i="7"/>
  <c r="P28" i="12"/>
  <c r="R28" i="12" s="1"/>
  <c r="T28" i="12" s="1"/>
  <c r="G28" i="12"/>
  <c r="I28" i="12"/>
  <c r="C12" i="8"/>
  <c r="H94" i="7"/>
  <c r="K92" i="7"/>
  <c r="H91" i="7"/>
  <c r="K89" i="7"/>
  <c r="L82" i="7"/>
  <c r="K82" i="7"/>
  <c r="K50" i="7"/>
  <c r="K34" i="7"/>
  <c r="G70" i="7"/>
  <c r="K70" i="7"/>
  <c r="L70" i="7"/>
  <c r="K61" i="7"/>
  <c r="L61" i="7"/>
  <c r="G38" i="7"/>
  <c r="K38" i="7"/>
  <c r="L38" i="7"/>
  <c r="K29" i="7"/>
  <c r="L29" i="7"/>
  <c r="H42" i="7"/>
  <c r="P82" i="3"/>
  <c r="R82" i="3"/>
  <c r="G82" i="3"/>
  <c r="K82" i="3"/>
  <c r="R56" i="3"/>
  <c r="R59" i="3"/>
  <c r="R43" i="3"/>
  <c r="P24" i="12"/>
  <c r="R24" i="12" s="1"/>
  <c r="T24" i="12" s="1"/>
  <c r="G24" i="12"/>
  <c r="I24" i="12"/>
  <c r="G71" i="12"/>
  <c r="N71" i="12"/>
  <c r="P71" i="12"/>
  <c r="R71" i="12" s="1"/>
  <c r="T71" i="12" s="1"/>
  <c r="L78" i="8"/>
  <c r="K78" i="8"/>
  <c r="G78" i="8"/>
  <c r="L46" i="8"/>
  <c r="K46" i="8"/>
  <c r="G46" i="8"/>
  <c r="P60" i="1"/>
  <c r="R60" i="1" s="1"/>
  <c r="T60" i="1" s="1"/>
  <c r="G60" i="1"/>
  <c r="H60" i="1"/>
  <c r="G63" i="3"/>
  <c r="I63" i="3"/>
  <c r="P63" i="3"/>
  <c r="R63" i="3"/>
  <c r="R75" i="3"/>
  <c r="R49" i="3"/>
  <c r="P45" i="12"/>
  <c r="G45" i="12"/>
  <c r="L45" i="12"/>
  <c r="J12" i="8"/>
  <c r="H93" i="8"/>
  <c r="I93" i="8"/>
  <c r="F93" i="8"/>
  <c r="J93" i="8"/>
  <c r="K93" i="8"/>
  <c r="K36" i="2"/>
  <c r="I36" i="2"/>
  <c r="J36" i="2"/>
  <c r="L36" i="2"/>
  <c r="H36" i="2"/>
  <c r="F36" i="2"/>
  <c r="F21" i="7"/>
  <c r="P89" i="3"/>
  <c r="R89" i="3"/>
  <c r="R84" i="3"/>
  <c r="R55" i="3"/>
  <c r="P41" i="12"/>
  <c r="R41" i="12" s="1"/>
  <c r="T41" i="12" s="1"/>
  <c r="G41" i="12"/>
  <c r="K41" i="12"/>
  <c r="R57" i="12"/>
  <c r="T57" i="12" s="1"/>
  <c r="K12" i="8"/>
  <c r="G87" i="8"/>
  <c r="K87" i="8"/>
  <c r="L87" i="8"/>
  <c r="L55" i="8"/>
  <c r="K55" i="8"/>
  <c r="G55" i="8"/>
  <c r="L23" i="8"/>
  <c r="G23" i="8"/>
  <c r="U34" i="16"/>
  <c r="U35" i="12"/>
  <c r="L87" i="7"/>
  <c r="I21" i="7"/>
  <c r="R61" i="3"/>
  <c r="R83" i="3"/>
  <c r="G78" i="3"/>
  <c r="K78" i="3"/>
  <c r="G74" i="3"/>
  <c r="R64" i="3"/>
  <c r="G51" i="3"/>
  <c r="H51" i="3"/>
  <c r="G48" i="3"/>
  <c r="R45" i="3"/>
  <c r="O71" i="3"/>
  <c r="O81" i="3"/>
  <c r="O106" i="3"/>
  <c r="P44" i="12"/>
  <c r="R44" i="12" s="1"/>
  <c r="T44" i="12" s="1"/>
  <c r="G44" i="12"/>
  <c r="L44" i="12"/>
  <c r="P37" i="12"/>
  <c r="R37" i="12" s="1"/>
  <c r="T37" i="12" s="1"/>
  <c r="G37" i="12"/>
  <c r="K37" i="12"/>
  <c r="P26" i="12"/>
  <c r="R26" i="12" s="1"/>
  <c r="T26" i="12" s="1"/>
  <c r="G73" i="12"/>
  <c r="N73" i="12"/>
  <c r="G47" i="12"/>
  <c r="N47" i="12"/>
  <c r="P47" i="12"/>
  <c r="R47" i="12" s="1"/>
  <c r="T47" i="12" s="1"/>
  <c r="K79" i="7"/>
  <c r="K63" i="7"/>
  <c r="K47" i="7"/>
  <c r="R78" i="3"/>
  <c r="P40" i="12"/>
  <c r="R40" i="12"/>
  <c r="T40" i="12" s="1"/>
  <c r="G40" i="12"/>
  <c r="K40" i="12"/>
  <c r="P33" i="12"/>
  <c r="G33" i="12"/>
  <c r="J33" i="12"/>
  <c r="I12" i="8"/>
  <c r="H102" i="8"/>
  <c r="I102" i="8"/>
  <c r="F102" i="8"/>
  <c r="J102" i="8"/>
  <c r="K102" i="8"/>
  <c r="G92" i="8"/>
  <c r="K92" i="8"/>
  <c r="L92" i="8"/>
  <c r="K60" i="8"/>
  <c r="L60" i="8"/>
  <c r="G60" i="8"/>
  <c r="K28" i="8"/>
  <c r="L28" i="8"/>
  <c r="G28" i="8"/>
  <c r="L74" i="2"/>
  <c r="G74" i="2"/>
  <c r="K74" i="2"/>
  <c r="R91" i="3"/>
  <c r="G73" i="3"/>
  <c r="K73" i="3"/>
  <c r="G60" i="3"/>
  <c r="R57" i="3"/>
  <c r="G47" i="3"/>
  <c r="H47" i="3"/>
  <c r="G44" i="3"/>
  <c r="R41" i="3"/>
  <c r="O90" i="3"/>
  <c r="P79" i="12"/>
  <c r="R79" i="12" s="1"/>
  <c r="T79" i="12" s="1"/>
  <c r="P36" i="12"/>
  <c r="R36" i="12" s="1"/>
  <c r="T36" i="12" s="1"/>
  <c r="G36" i="12"/>
  <c r="K36" i="12"/>
  <c r="P29" i="12"/>
  <c r="R29" i="12" s="1"/>
  <c r="T29" i="12" s="1"/>
  <c r="G29" i="12"/>
  <c r="I29" i="12"/>
  <c r="R81" i="12"/>
  <c r="T81" i="12" s="1"/>
  <c r="R47" i="3"/>
  <c r="G107" i="3"/>
  <c r="K107" i="3"/>
  <c r="P32" i="12"/>
  <c r="G32" i="12"/>
  <c r="J32" i="12"/>
  <c r="P25" i="12"/>
  <c r="R25" i="12"/>
  <c r="T25" i="12" s="1"/>
  <c r="G25" i="12"/>
  <c r="I25" i="12"/>
  <c r="G55" i="12"/>
  <c r="N55" i="12"/>
  <c r="P55" i="12"/>
  <c r="R55" i="12" s="1"/>
  <c r="T55" i="12" s="1"/>
  <c r="L93" i="8"/>
  <c r="K68" i="2"/>
  <c r="I68" i="2"/>
  <c r="J68" i="2"/>
  <c r="L68" i="2"/>
  <c r="H68" i="2"/>
  <c r="F68" i="2"/>
  <c r="W19" i="12"/>
  <c r="W16" i="12"/>
  <c r="P85" i="12"/>
  <c r="R85" i="12" s="1"/>
  <c r="T85" i="12" s="1"/>
  <c r="P77" i="12"/>
  <c r="R77" i="12" s="1"/>
  <c r="T77" i="12" s="1"/>
  <c r="P69" i="12"/>
  <c r="R69" i="12" s="1"/>
  <c r="T69" i="12" s="1"/>
  <c r="P61" i="12"/>
  <c r="R61" i="12" s="1"/>
  <c r="T61" i="12" s="1"/>
  <c r="P53" i="12"/>
  <c r="R53" i="12" s="1"/>
  <c r="T53" i="12" s="1"/>
  <c r="P43" i="12"/>
  <c r="R43" i="12" s="1"/>
  <c r="T43" i="12" s="1"/>
  <c r="P39" i="12"/>
  <c r="R39" i="12" s="1"/>
  <c r="T39" i="12" s="1"/>
  <c r="P35" i="12"/>
  <c r="R35" i="12" s="1"/>
  <c r="T35" i="12" s="1"/>
  <c r="P31" i="12"/>
  <c r="R31" i="12" s="1"/>
  <c r="T31" i="12" s="1"/>
  <c r="P27" i="12"/>
  <c r="R27" i="12"/>
  <c r="T27" i="12" s="1"/>
  <c r="P23" i="12"/>
  <c r="R23" i="12" s="1"/>
  <c r="T23" i="12" s="1"/>
  <c r="W12" i="12"/>
  <c r="W9" i="12"/>
  <c r="W3" i="12"/>
  <c r="F96" i="8"/>
  <c r="I98" i="8"/>
  <c r="I89" i="8"/>
  <c r="G91" i="8"/>
  <c r="L91" i="8"/>
  <c r="L82" i="8"/>
  <c r="K64" i="8"/>
  <c r="G59" i="8"/>
  <c r="K32" i="8"/>
  <c r="L32" i="8"/>
  <c r="K27" i="8"/>
  <c r="L27" i="8"/>
  <c r="G27" i="8"/>
  <c r="J72" i="2"/>
  <c r="L72" i="2"/>
  <c r="F72" i="2"/>
  <c r="K72" i="2"/>
  <c r="J40" i="2"/>
  <c r="L40" i="2"/>
  <c r="F40" i="2"/>
  <c r="K40" i="2"/>
  <c r="D16" i="12"/>
  <c r="D19" i="12" s="1"/>
  <c r="P82" i="12"/>
  <c r="R82" i="12" s="1"/>
  <c r="T82" i="12" s="1"/>
  <c r="P74" i="12"/>
  <c r="R74" i="12" s="1"/>
  <c r="T74" i="12" s="1"/>
  <c r="P66" i="12"/>
  <c r="R66" i="12" s="1"/>
  <c r="T66" i="12" s="1"/>
  <c r="P58" i="12"/>
  <c r="R58" i="12" s="1"/>
  <c r="T58" i="12" s="1"/>
  <c r="P50" i="12"/>
  <c r="R50" i="12" s="1"/>
  <c r="T50" i="12" s="1"/>
  <c r="W8" i="12"/>
  <c r="W2" i="12"/>
  <c r="L90" i="8"/>
  <c r="F104" i="8"/>
  <c r="I97" i="8"/>
  <c r="H96" i="8"/>
  <c r="H87" i="8"/>
  <c r="J87" i="8"/>
  <c r="G104" i="8"/>
  <c r="G90" i="8"/>
  <c r="K68" i="8"/>
  <c r="L68" i="8"/>
  <c r="G63" i="8"/>
  <c r="L54" i="8"/>
  <c r="K54" i="8"/>
  <c r="L31" i="8"/>
  <c r="K31" i="8"/>
  <c r="G31" i="8"/>
  <c r="K22" i="8"/>
  <c r="L38" i="2"/>
  <c r="K90" i="2"/>
  <c r="K58" i="2"/>
  <c r="K26" i="2"/>
  <c r="I48" i="2"/>
  <c r="K76" i="2"/>
  <c r="I76" i="2"/>
  <c r="J76" i="2"/>
  <c r="L76" i="2"/>
  <c r="K44" i="2"/>
  <c r="I44" i="2"/>
  <c r="J44" i="2"/>
  <c r="L44" i="2"/>
  <c r="G86" i="2"/>
  <c r="G54" i="2"/>
  <c r="G22" i="2"/>
  <c r="L98" i="8"/>
  <c r="L89" i="8"/>
  <c r="G99" i="8"/>
  <c r="L99" i="8"/>
  <c r="K72" i="8"/>
  <c r="L72" i="8"/>
  <c r="K67" i="8"/>
  <c r="L67" i="8"/>
  <c r="G67" i="8"/>
  <c r="K40" i="8"/>
  <c r="L40" i="8"/>
  <c r="K35" i="8"/>
  <c r="L35" i="8"/>
  <c r="G35" i="8"/>
  <c r="K26" i="8"/>
  <c r="L26" i="8"/>
  <c r="U41" i="16"/>
  <c r="U40" i="16"/>
  <c r="J80" i="2"/>
  <c r="L80" i="2"/>
  <c r="F80" i="2"/>
  <c r="K80" i="2"/>
  <c r="J48" i="2"/>
  <c r="L48" i="2"/>
  <c r="F48" i="2"/>
  <c r="K48" i="2"/>
  <c r="W18" i="12"/>
  <c r="W15" i="12"/>
  <c r="P84" i="12"/>
  <c r="R84" i="12" s="1"/>
  <c r="T84" i="12" s="1"/>
  <c r="P76" i="12"/>
  <c r="R76" i="12"/>
  <c r="T76" i="12" s="1"/>
  <c r="P68" i="12"/>
  <c r="R68" i="12" s="1"/>
  <c r="T68" i="12" s="1"/>
  <c r="P60" i="12"/>
  <c r="R60" i="12" s="1"/>
  <c r="T60" i="12" s="1"/>
  <c r="P52" i="12"/>
  <c r="R52" i="12" s="1"/>
  <c r="T52" i="12" s="1"/>
  <c r="W6" i="12"/>
  <c r="L88" i="8"/>
  <c r="F12" i="8"/>
  <c r="K99" i="8"/>
  <c r="J99" i="8"/>
  <c r="H104" i="8"/>
  <c r="H95" i="8"/>
  <c r="J95" i="8"/>
  <c r="G71" i="8"/>
  <c r="L62" i="8"/>
  <c r="K62" i="8"/>
  <c r="K39" i="8"/>
  <c r="G39" i="8"/>
  <c r="L86" i="2"/>
  <c r="L22" i="2"/>
  <c r="F60" i="2"/>
  <c r="F28" i="2"/>
  <c r="I64" i="2"/>
  <c r="K84" i="2"/>
  <c r="I84" i="2"/>
  <c r="J84" i="2"/>
  <c r="L84" i="2"/>
  <c r="K52" i="2"/>
  <c r="I52" i="2"/>
  <c r="J52" i="2"/>
  <c r="L52" i="2"/>
  <c r="G62" i="2"/>
  <c r="G30" i="2"/>
  <c r="W5" i="12"/>
  <c r="L96" i="8"/>
  <c r="K98" i="8"/>
  <c r="K88" i="8"/>
  <c r="J98" i="8"/>
  <c r="J89" i="8"/>
  <c r="K80" i="8"/>
  <c r="L80" i="8"/>
  <c r="K75" i="8"/>
  <c r="L75" i="8"/>
  <c r="G75" i="8"/>
  <c r="K48" i="8"/>
  <c r="L48" i="8"/>
  <c r="G43" i="8"/>
  <c r="K34" i="8"/>
  <c r="L34" i="8"/>
  <c r="J88" i="2"/>
  <c r="L88" i="2"/>
  <c r="F88" i="2"/>
  <c r="K88" i="2"/>
  <c r="J56" i="2"/>
  <c r="L56" i="2"/>
  <c r="F56" i="2"/>
  <c r="K56" i="2"/>
  <c r="J24" i="2"/>
  <c r="L24" i="2"/>
  <c r="F24" i="2"/>
  <c r="K24" i="2"/>
  <c r="G66" i="2"/>
  <c r="G34" i="2"/>
  <c r="P86" i="12"/>
  <c r="R86" i="12" s="1"/>
  <c r="T86" i="12" s="1"/>
  <c r="P78" i="12"/>
  <c r="R78" i="12" s="1"/>
  <c r="T78" i="12" s="1"/>
  <c r="P70" i="12"/>
  <c r="R70" i="12" s="1"/>
  <c r="T70" i="12" s="1"/>
  <c r="P62" i="12"/>
  <c r="R62" i="12" s="1"/>
  <c r="T62" i="12" s="1"/>
  <c r="F91" i="8"/>
  <c r="K96" i="8"/>
  <c r="H103" i="8"/>
  <c r="J103" i="8"/>
  <c r="H98" i="8"/>
  <c r="H89" i="8"/>
  <c r="K84" i="8"/>
  <c r="L84" i="8"/>
  <c r="L79" i="8"/>
  <c r="K79" i="8"/>
  <c r="G79" i="8"/>
  <c r="K52" i="8"/>
  <c r="L52" i="8"/>
  <c r="L47" i="8"/>
  <c r="K47" i="8"/>
  <c r="G47" i="8"/>
  <c r="L38" i="8"/>
  <c r="K38" i="8"/>
  <c r="L70" i="2"/>
  <c r="I80" i="2"/>
  <c r="K60" i="2"/>
  <c r="I60" i="2"/>
  <c r="J60" i="2"/>
  <c r="L60" i="2"/>
  <c r="K28" i="2"/>
  <c r="I28" i="2"/>
  <c r="J28" i="2"/>
  <c r="L28" i="2"/>
  <c r="G70" i="2"/>
  <c r="G38" i="2"/>
  <c r="P51" i="1"/>
  <c r="R51" i="1" s="1"/>
  <c r="G83" i="8"/>
  <c r="K74" i="8"/>
  <c r="L74" i="8"/>
  <c r="K56" i="8"/>
  <c r="L56" i="8"/>
  <c r="G51" i="8"/>
  <c r="K42" i="8"/>
  <c r="L42" i="8"/>
  <c r="K24" i="8"/>
  <c r="L24" i="8"/>
  <c r="J64" i="2"/>
  <c r="L64" i="2"/>
  <c r="F64" i="2"/>
  <c r="K64" i="2"/>
  <c r="J32" i="2"/>
  <c r="L32" i="2"/>
  <c r="F32" i="2"/>
  <c r="K32" i="2"/>
  <c r="K81" i="8"/>
  <c r="L81" i="8"/>
  <c r="K73" i="8"/>
  <c r="L73" i="8"/>
  <c r="L61" i="8"/>
  <c r="K61" i="8"/>
  <c r="K57" i="8"/>
  <c r="L57" i="8"/>
  <c r="L53" i="8"/>
  <c r="K53" i="8"/>
  <c r="K49" i="8"/>
  <c r="L49" i="8"/>
  <c r="L45" i="8"/>
  <c r="K41" i="8"/>
  <c r="L41" i="8"/>
  <c r="L37" i="8"/>
  <c r="K25" i="8"/>
  <c r="L25" i="8"/>
  <c r="L21" i="8"/>
  <c r="K21" i="8"/>
  <c r="K89" i="2"/>
  <c r="K81" i="2"/>
  <c r="K73" i="2"/>
  <c r="K65" i="2"/>
  <c r="K57" i="2"/>
  <c r="K49" i="2"/>
  <c r="K41" i="2"/>
  <c r="K33" i="2"/>
  <c r="K25" i="2"/>
  <c r="E17" i="14"/>
  <c r="R48" i="15"/>
  <c r="K21" i="2"/>
  <c r="L21" i="2"/>
  <c r="G87" i="15"/>
  <c r="L87" i="15"/>
  <c r="P87" i="15"/>
  <c r="R87" i="15"/>
  <c r="G70" i="15"/>
  <c r="L70" i="15"/>
  <c r="P70" i="15"/>
  <c r="R59" i="15"/>
  <c r="E58" i="14"/>
  <c r="F94" i="3"/>
  <c r="G94" i="3"/>
  <c r="K94" i="3"/>
  <c r="G86" i="15"/>
  <c r="L86" i="15"/>
  <c r="P86" i="15"/>
  <c r="R86" i="15"/>
  <c r="G75" i="15"/>
  <c r="N75" i="15"/>
  <c r="P75" i="15"/>
  <c r="R82" i="15"/>
  <c r="G91" i="15"/>
  <c r="N91" i="15"/>
  <c r="P91" i="15"/>
  <c r="P50" i="15"/>
  <c r="G50" i="15"/>
  <c r="H50" i="15"/>
  <c r="P73" i="1"/>
  <c r="R73" i="1" s="1"/>
  <c r="T73" i="1" s="1"/>
  <c r="E15" i="14"/>
  <c r="G85" i="15"/>
  <c r="N85" i="15"/>
  <c r="P85" i="15"/>
  <c r="R85" i="15"/>
  <c r="P46" i="15"/>
  <c r="R46" i="15"/>
  <c r="G46" i="15"/>
  <c r="N46" i="15"/>
  <c r="P102" i="16"/>
  <c r="R102" i="16" s="1"/>
  <c r="T102" i="16" s="1"/>
  <c r="G102" i="16"/>
  <c r="K102" i="16"/>
  <c r="P83" i="16"/>
  <c r="R83" i="16" s="1"/>
  <c r="T83" i="16" s="1"/>
  <c r="G83" i="16"/>
  <c r="K83" i="16"/>
  <c r="P24" i="16"/>
  <c r="R24" i="16" s="1"/>
  <c r="T24" i="16" s="1"/>
  <c r="G24" i="16"/>
  <c r="H24" i="16"/>
  <c r="R79" i="15"/>
  <c r="G63" i="15"/>
  <c r="I63" i="15"/>
  <c r="P63" i="15"/>
  <c r="R63" i="15"/>
  <c r="P55" i="15"/>
  <c r="R55" i="15"/>
  <c r="G55" i="15"/>
  <c r="N55" i="15"/>
  <c r="P94" i="16"/>
  <c r="X40" i="13"/>
  <c r="G73" i="15"/>
  <c r="N73" i="15"/>
  <c r="P73" i="15"/>
  <c r="P58" i="15"/>
  <c r="G58" i="15"/>
  <c r="N58" i="15"/>
  <c r="G74" i="16"/>
  <c r="K74" i="16"/>
  <c r="R83" i="15"/>
  <c r="P54" i="15"/>
  <c r="R54" i="15"/>
  <c r="G54" i="15"/>
  <c r="N54" i="15"/>
  <c r="G48" i="15"/>
  <c r="H48" i="15"/>
  <c r="P42" i="15"/>
  <c r="G42" i="15"/>
  <c r="H42" i="15"/>
  <c r="C28" i="15"/>
  <c r="C31" i="15"/>
  <c r="R61" i="15"/>
  <c r="R57" i="15"/>
  <c r="P53" i="15"/>
  <c r="R53" i="15"/>
  <c r="G43" i="16"/>
  <c r="I43" i="16"/>
  <c r="P70" i="16"/>
  <c r="R70" i="16" s="1"/>
  <c r="T70" i="16" s="1"/>
  <c r="G73" i="16"/>
  <c r="K73" i="16"/>
  <c r="P73" i="16"/>
  <c r="R73" i="16"/>
  <c r="T73" i="16" s="1"/>
  <c r="G68" i="16"/>
  <c r="K68" i="16"/>
  <c r="R89" i="15"/>
  <c r="R77" i="15"/>
  <c r="G65" i="15"/>
  <c r="L65" i="15"/>
  <c r="P65" i="15"/>
  <c r="P47" i="15"/>
  <c r="G47" i="15"/>
  <c r="H47" i="15"/>
  <c r="G91" i="16"/>
  <c r="K91" i="16"/>
  <c r="G42" i="16"/>
  <c r="I42" i="16"/>
  <c r="G40" i="16"/>
  <c r="J40" i="16"/>
  <c r="P40" i="16"/>
  <c r="R40" i="16" s="1"/>
  <c r="T40" i="16" s="1"/>
  <c r="G57" i="15"/>
  <c r="N57" i="15"/>
  <c r="G85" i="16"/>
  <c r="K85" i="16"/>
  <c r="G69" i="16"/>
  <c r="K69" i="16"/>
  <c r="P61" i="16"/>
  <c r="R61" i="16" s="1"/>
  <c r="T61" i="16" s="1"/>
  <c r="G61" i="16"/>
  <c r="K61" i="16"/>
  <c r="G72" i="16"/>
  <c r="K72" i="16"/>
  <c r="P72" i="16"/>
  <c r="R72" i="16"/>
  <c r="T72" i="16" s="1"/>
  <c r="G65" i="13"/>
  <c r="K65" i="13"/>
  <c r="P65" i="13"/>
  <c r="R65" i="13" s="1"/>
  <c r="T65" i="13" s="1"/>
  <c r="F61" i="13"/>
  <c r="U61" i="5"/>
  <c r="F53" i="8"/>
  <c r="I53" i="8"/>
  <c r="J53" i="8"/>
  <c r="H53" i="8"/>
  <c r="H37" i="8"/>
  <c r="F21" i="8"/>
  <c r="I21" i="8"/>
  <c r="J21" i="8"/>
  <c r="H21" i="8"/>
  <c r="P115" i="3"/>
  <c r="G115" i="3"/>
  <c r="K115" i="3"/>
  <c r="O115" i="3"/>
  <c r="P104" i="13"/>
  <c r="R104" i="13" s="1"/>
  <c r="T104" i="13" s="1"/>
  <c r="P106" i="13"/>
  <c r="R106" i="13" s="1"/>
  <c r="T106" i="13" s="1"/>
  <c r="P98" i="13"/>
  <c r="R98" i="13" s="1"/>
  <c r="T98" i="13"/>
  <c r="P48" i="13"/>
  <c r="P51" i="13"/>
  <c r="R51" i="13" s="1"/>
  <c r="T51" i="13" s="1"/>
  <c r="P66" i="13"/>
  <c r="R66" i="13" s="1"/>
  <c r="T66" i="13" s="1"/>
  <c r="P112" i="3"/>
  <c r="G112" i="3"/>
  <c r="K112" i="3"/>
  <c r="O112" i="3"/>
  <c r="U81" i="5"/>
  <c r="F73" i="8"/>
  <c r="I73" i="8"/>
  <c r="F57" i="8"/>
  <c r="I57" i="8"/>
  <c r="F41" i="8"/>
  <c r="I41" i="8"/>
  <c r="F25" i="8"/>
  <c r="I25" i="8"/>
  <c r="P120" i="3"/>
  <c r="R120" i="3"/>
  <c r="G120" i="3"/>
  <c r="K120" i="3"/>
  <c r="O120" i="3"/>
  <c r="F61" i="8"/>
  <c r="I61" i="8"/>
  <c r="J61" i="8"/>
  <c r="H61" i="8"/>
  <c r="F29" i="8"/>
  <c r="I29" i="8"/>
  <c r="J41" i="8"/>
  <c r="H41" i="8"/>
  <c r="F81" i="8"/>
  <c r="I81" i="8"/>
  <c r="I65" i="8"/>
  <c r="F49" i="8"/>
  <c r="I49" i="8"/>
  <c r="P110" i="3"/>
  <c r="G110" i="3"/>
  <c r="K110" i="3"/>
  <c r="O110" i="3"/>
  <c r="P118" i="3"/>
  <c r="G118" i="3"/>
  <c r="K118" i="3"/>
  <c r="O118" i="3"/>
  <c r="P113" i="3"/>
  <c r="G113" i="3"/>
  <c r="K113" i="3"/>
  <c r="O113" i="3"/>
  <c r="P121" i="3"/>
  <c r="G121" i="3"/>
  <c r="K121" i="3"/>
  <c r="O121" i="3"/>
  <c r="P105" i="13"/>
  <c r="R105" i="13"/>
  <c r="T105" i="13" s="1"/>
  <c r="P116" i="3"/>
  <c r="G116" i="3"/>
  <c r="K116" i="3"/>
  <c r="O116" i="3"/>
  <c r="P111" i="3"/>
  <c r="R111" i="3"/>
  <c r="G111" i="3"/>
  <c r="K111" i="3"/>
  <c r="O111" i="3"/>
  <c r="P119" i="3"/>
  <c r="R119" i="3"/>
  <c r="G119" i="3"/>
  <c r="K119" i="3"/>
  <c r="O119" i="3"/>
  <c r="P79" i="13"/>
  <c r="R79" i="13" s="1"/>
  <c r="T79" i="13" s="1"/>
  <c r="P114" i="3"/>
  <c r="G114" i="3"/>
  <c r="K114" i="3"/>
  <c r="O114" i="3"/>
  <c r="P122" i="3"/>
  <c r="G122" i="3"/>
  <c r="K122" i="3"/>
  <c r="O122" i="3"/>
  <c r="P109" i="3"/>
  <c r="R109" i="3"/>
  <c r="G109" i="3"/>
  <c r="K109" i="3"/>
  <c r="O109" i="3"/>
  <c r="P117" i="3"/>
  <c r="G117" i="3"/>
  <c r="K117" i="3"/>
  <c r="O117" i="3"/>
  <c r="P108" i="13"/>
  <c r="R108" i="13" s="1"/>
  <c r="T108" i="13" s="1"/>
  <c r="P110" i="13"/>
  <c r="R110" i="13" s="1"/>
  <c r="T110" i="13" s="1"/>
  <c r="R50" i="15"/>
  <c r="R121" i="3"/>
  <c r="R118" i="3"/>
  <c r="R65" i="15"/>
  <c r="R70" i="15"/>
  <c r="R32" i="12"/>
  <c r="T32" i="12" s="1"/>
  <c r="R115" i="3"/>
  <c r="R47" i="15"/>
  <c r="R91" i="15"/>
  <c r="R60" i="3"/>
  <c r="J60" i="3"/>
  <c r="R73" i="12"/>
  <c r="T73" i="12" s="1"/>
  <c r="H48" i="3"/>
  <c r="R48" i="3"/>
  <c r="R49" i="12"/>
  <c r="T49" i="12"/>
  <c r="G73" i="13"/>
  <c r="P73" i="13"/>
  <c r="X73" i="13" s="1"/>
  <c r="R117" i="3"/>
  <c r="R110" i="3"/>
  <c r="X51" i="13"/>
  <c r="R73" i="3"/>
  <c r="R33" i="12"/>
  <c r="T33" i="12"/>
  <c r="R53" i="3"/>
  <c r="R103" i="13"/>
  <c r="T103" i="13"/>
  <c r="R67" i="12"/>
  <c r="T67" i="12"/>
  <c r="R113" i="3"/>
  <c r="R122" i="3"/>
  <c r="R116" i="3"/>
  <c r="R58" i="15"/>
  <c r="R75" i="15"/>
  <c r="C28" i="3"/>
  <c r="C31" i="3"/>
  <c r="R74" i="3"/>
  <c r="K74" i="3"/>
  <c r="R45" i="12"/>
  <c r="T45" i="12" s="1"/>
  <c r="R73" i="15"/>
  <c r="R63" i="12"/>
  <c r="T63" i="12" s="1"/>
  <c r="H44" i="3"/>
  <c r="R44" i="3"/>
  <c r="C21" i="3"/>
  <c r="R51" i="3"/>
  <c r="R46" i="12"/>
  <c r="T46" i="12" s="1"/>
  <c r="R114" i="3"/>
  <c r="R112" i="3"/>
  <c r="R42" i="15"/>
  <c r="C21" i="15"/>
  <c r="K73" i="13"/>
  <c r="G82" i="5"/>
  <c r="K82" i="5"/>
  <c r="P82" i="5"/>
  <c r="R82" i="5" s="1"/>
  <c r="T82" i="5" s="1"/>
  <c r="G113" i="5"/>
  <c r="G36" i="5"/>
  <c r="J36" i="5"/>
  <c r="K87" i="5"/>
  <c r="G74" i="5"/>
  <c r="K74" i="5"/>
  <c r="G56" i="5"/>
  <c r="K56" i="5"/>
  <c r="G94" i="5"/>
  <c r="K94" i="5"/>
  <c r="G84" i="5"/>
  <c r="K84" i="5"/>
  <c r="G65" i="5"/>
  <c r="K65" i="5"/>
  <c r="G34" i="5"/>
  <c r="J34" i="5"/>
  <c r="G88" i="5"/>
  <c r="K88" i="5"/>
  <c r="G62" i="5"/>
  <c r="K62" i="5"/>
  <c r="G97" i="5"/>
  <c r="K97" i="5"/>
  <c r="G66" i="5"/>
  <c r="K66" i="5"/>
  <c r="G41" i="5"/>
  <c r="J41" i="5"/>
  <c r="G68" i="5"/>
  <c r="K68" i="5"/>
  <c r="G45" i="5"/>
  <c r="J45" i="5"/>
  <c r="G91" i="5"/>
  <c r="K91" i="5"/>
  <c r="G52" i="5"/>
  <c r="K52" i="5"/>
  <c r="G80" i="5"/>
  <c r="K80" i="5"/>
  <c r="G60" i="5"/>
  <c r="K60" i="5"/>
  <c r="G47" i="5"/>
  <c r="K47" i="5"/>
  <c r="G90" i="5"/>
  <c r="K90" i="5"/>
  <c r="G98" i="5"/>
  <c r="K98" i="5"/>
  <c r="G117" i="5"/>
  <c r="G72" i="5"/>
  <c r="K72" i="5"/>
  <c r="G54" i="5"/>
  <c r="H54" i="5"/>
  <c r="G106" i="5"/>
  <c r="K106" i="5"/>
  <c r="P106" i="5"/>
  <c r="R106" i="5" s="1"/>
  <c r="T106" i="5" s="1"/>
  <c r="G99" i="5"/>
  <c r="K99" i="5"/>
  <c r="G49" i="5"/>
  <c r="K49" i="5"/>
  <c r="G119" i="5"/>
  <c r="K119" i="5"/>
  <c r="G39" i="5"/>
  <c r="J39" i="5"/>
  <c r="G85" i="5"/>
  <c r="K85" i="5"/>
  <c r="G64" i="5"/>
  <c r="K64" i="5"/>
  <c r="G104" i="5"/>
  <c r="K104" i="5"/>
  <c r="G48" i="5"/>
  <c r="K48" i="5"/>
  <c r="G38" i="5"/>
  <c r="J38" i="5"/>
  <c r="G58" i="5"/>
  <c r="K58" i="5"/>
  <c r="G102" i="5"/>
  <c r="K102" i="5"/>
  <c r="G95" i="5"/>
  <c r="K95" i="5"/>
  <c r="P79" i="5"/>
  <c r="R79" i="5" s="1"/>
  <c r="T79" i="5" s="1"/>
  <c r="G79" i="5"/>
  <c r="K79" i="5"/>
  <c r="G37" i="5"/>
  <c r="J37" i="5"/>
  <c r="G29" i="5"/>
  <c r="H29" i="5"/>
  <c r="G23" i="5"/>
  <c r="H23" i="5"/>
  <c r="G70" i="5"/>
  <c r="K70" i="5"/>
  <c r="G100" i="5"/>
  <c r="K100" i="5"/>
  <c r="G93" i="5"/>
  <c r="K93" i="5"/>
  <c r="G78" i="5"/>
  <c r="K78" i="5"/>
  <c r="P78" i="5"/>
  <c r="R78" i="5" s="1"/>
  <c r="T78" i="5" s="1"/>
  <c r="G109" i="5"/>
  <c r="K109" i="5"/>
  <c r="G33" i="5"/>
  <c r="H33" i="5"/>
  <c r="E13" i="14"/>
  <c r="G43" i="5"/>
  <c r="I43" i="5"/>
  <c r="E18" i="14"/>
  <c r="G83" i="5"/>
  <c r="K83" i="5"/>
  <c r="F76" i="5"/>
  <c r="G73" i="5"/>
  <c r="K73" i="5"/>
  <c r="G63" i="5"/>
  <c r="K63" i="5"/>
  <c r="G55" i="5"/>
  <c r="K55" i="5"/>
  <c r="F96" i="5"/>
  <c r="F92" i="5"/>
  <c r="F51" i="5"/>
  <c r="F108" i="5"/>
  <c r="G24" i="5"/>
  <c r="H24" i="5"/>
  <c r="E31" i="14"/>
  <c r="E37" i="14"/>
  <c r="E54" i="14"/>
  <c r="P101" i="13"/>
  <c r="G101" i="13"/>
  <c r="K101" i="13"/>
  <c r="G115" i="13"/>
  <c r="K115" i="13"/>
  <c r="P115" i="13"/>
  <c r="R115" i="13"/>
  <c r="T115" i="13" s="1"/>
  <c r="P95" i="13"/>
  <c r="R95" i="13" s="1"/>
  <c r="T95" i="13" s="1"/>
  <c r="P38" i="13"/>
  <c r="R38" i="13"/>
  <c r="T38" i="13" s="1"/>
  <c r="G38" i="13"/>
  <c r="P32" i="13"/>
  <c r="R32" i="13" s="1"/>
  <c r="T32" i="13" s="1"/>
  <c r="G32" i="13"/>
  <c r="I32" i="13"/>
  <c r="G119" i="13"/>
  <c r="K119" i="13"/>
  <c r="P119" i="13"/>
  <c r="P58" i="13"/>
  <c r="G58" i="13"/>
  <c r="K88" i="13"/>
  <c r="J34" i="13"/>
  <c r="X34" i="13"/>
  <c r="X37" i="13"/>
  <c r="R37" i="13"/>
  <c r="T37" i="13" s="1"/>
  <c r="P44" i="13"/>
  <c r="G44" i="13"/>
  <c r="G31" i="13"/>
  <c r="I31" i="13"/>
  <c r="P31" i="13"/>
  <c r="K66" i="13"/>
  <c r="X66" i="13"/>
  <c r="G107" i="13"/>
  <c r="K107" i="13"/>
  <c r="P107" i="13"/>
  <c r="G99" i="13"/>
  <c r="K99" i="13"/>
  <c r="P99" i="13"/>
  <c r="R99" i="13" s="1"/>
  <c r="T99" i="13" s="1"/>
  <c r="P93" i="13"/>
  <c r="R93" i="13" s="1"/>
  <c r="T93" i="13" s="1"/>
  <c r="G93" i="13"/>
  <c r="K93" i="13"/>
  <c r="P81" i="13"/>
  <c r="X81" i="13" s="1"/>
  <c r="G81" i="13"/>
  <c r="G109" i="13"/>
  <c r="K109" i="13"/>
  <c r="P109" i="13"/>
  <c r="G112" i="13"/>
  <c r="K112" i="13"/>
  <c r="P112" i="13"/>
  <c r="R112" i="13"/>
  <c r="T112" i="13" s="1"/>
  <c r="R48" i="13"/>
  <c r="T48" i="13" s="1"/>
  <c r="X48" i="13"/>
  <c r="G26" i="13"/>
  <c r="I26" i="13"/>
  <c r="F43" i="13"/>
  <c r="U43" i="5"/>
  <c r="R30" i="13"/>
  <c r="T30" i="13"/>
  <c r="P24" i="13"/>
  <c r="G24" i="13"/>
  <c r="I24" i="13"/>
  <c r="P92" i="13"/>
  <c r="R92" i="13" s="1"/>
  <c r="T92" i="13" s="1"/>
  <c r="D16" i="13"/>
  <c r="D19" i="13"/>
  <c r="G92" i="13"/>
  <c r="K92" i="13"/>
  <c r="P80" i="13"/>
  <c r="G80" i="13"/>
  <c r="G75" i="13"/>
  <c r="K75" i="13"/>
  <c r="P75" i="13"/>
  <c r="X75" i="13" s="1"/>
  <c r="X45" i="13"/>
  <c r="R45" i="13"/>
  <c r="T45" i="13" s="1"/>
  <c r="P50" i="13"/>
  <c r="G50" i="13"/>
  <c r="H50" i="13"/>
  <c r="G61" i="13"/>
  <c r="K61" i="13"/>
  <c r="P61" i="13"/>
  <c r="X61" i="13" s="1"/>
  <c r="X57" i="13"/>
  <c r="R57" i="13"/>
  <c r="T57" i="13"/>
  <c r="P42" i="13"/>
  <c r="G42" i="13"/>
  <c r="I42" i="13"/>
  <c r="P36" i="13"/>
  <c r="G36" i="13"/>
  <c r="P23" i="13"/>
  <c r="R23" i="13" s="1"/>
  <c r="T23" i="13" s="1"/>
  <c r="G23" i="13"/>
  <c r="I23" i="13"/>
  <c r="F52" i="13"/>
  <c r="U52" i="5"/>
  <c r="G91" i="13"/>
  <c r="K91" i="13"/>
  <c r="P91" i="13"/>
  <c r="R91" i="13" s="1"/>
  <c r="T91" i="13" s="1"/>
  <c r="K79" i="13"/>
  <c r="X79" i="13"/>
  <c r="P74" i="13"/>
  <c r="G74" i="13"/>
  <c r="G69" i="13"/>
  <c r="P69" i="13"/>
  <c r="R69" i="13" s="1"/>
  <c r="T69" i="13" s="1"/>
  <c r="X77" i="13"/>
  <c r="R77" i="13"/>
  <c r="T77" i="13" s="1"/>
  <c r="P35" i="13"/>
  <c r="X35" i="13" s="1"/>
  <c r="G35" i="13"/>
  <c r="J35" i="13"/>
  <c r="G22" i="13"/>
  <c r="I22" i="13"/>
  <c r="F60" i="13"/>
  <c r="U60" i="5"/>
  <c r="X86" i="13"/>
  <c r="K86" i="13"/>
  <c r="G78" i="13"/>
  <c r="K78" i="13"/>
  <c r="P78" i="13"/>
  <c r="P39" i="13"/>
  <c r="G39" i="13"/>
  <c r="J39" i="13"/>
  <c r="R34" i="13"/>
  <c r="T34" i="13" s="1"/>
  <c r="P28" i="13"/>
  <c r="R28" i="13" s="1"/>
  <c r="T28" i="13" s="1"/>
  <c r="G28" i="13"/>
  <c r="I28" i="13"/>
  <c r="G55" i="13"/>
  <c r="K55" i="13"/>
  <c r="P55" i="13"/>
  <c r="F47" i="13"/>
  <c r="U47" i="5"/>
  <c r="G97" i="13"/>
  <c r="K97" i="13"/>
  <c r="P97" i="13"/>
  <c r="P85" i="13"/>
  <c r="G85" i="13"/>
  <c r="K85" i="13"/>
  <c r="P72" i="13"/>
  <c r="G72" i="13"/>
  <c r="P67" i="13"/>
  <c r="G67" i="13"/>
  <c r="G83" i="13"/>
  <c r="K83" i="13"/>
  <c r="P83" i="13"/>
  <c r="R22" i="13"/>
  <c r="T22" i="13"/>
  <c r="R40" i="13"/>
  <c r="T40" i="13"/>
  <c r="P27" i="13"/>
  <c r="G27" i="13"/>
  <c r="I27" i="13"/>
  <c r="G63" i="13"/>
  <c r="P63" i="13"/>
  <c r="G54" i="13"/>
  <c r="G102" i="13"/>
  <c r="K102" i="13"/>
  <c r="P102" i="13"/>
  <c r="R102" i="13" s="1"/>
  <c r="T102" i="13"/>
  <c r="P96" i="13"/>
  <c r="G96" i="13"/>
  <c r="K96" i="13"/>
  <c r="P89" i="13"/>
  <c r="G89" i="13"/>
  <c r="K89" i="13"/>
  <c r="G84" i="13"/>
  <c r="P84" i="13"/>
  <c r="G111" i="13"/>
  <c r="K111" i="13"/>
  <c r="P111" i="13"/>
  <c r="R111" i="13" s="1"/>
  <c r="T111" i="13" s="1"/>
  <c r="R73" i="13"/>
  <c r="T73" i="13" s="1"/>
  <c r="U42" i="5"/>
  <c r="U54" i="5"/>
  <c r="U74" i="5"/>
  <c r="U93" i="5"/>
  <c r="F46" i="13"/>
  <c r="G59" i="13"/>
  <c r="K59" i="13"/>
  <c r="K51" i="13"/>
  <c r="F49" i="13"/>
  <c r="G90" i="13"/>
  <c r="K90" i="13"/>
  <c r="F82" i="13"/>
  <c r="F68" i="13"/>
  <c r="G118" i="13"/>
  <c r="P113" i="13"/>
  <c r="R113" i="13" s="1"/>
  <c r="T113" i="13" s="1"/>
  <c r="X62" i="13"/>
  <c r="P117" i="13"/>
  <c r="X56" i="13"/>
  <c r="P116" i="13"/>
  <c r="R116" i="13" s="1"/>
  <c r="T116" i="13" s="1"/>
  <c r="X53" i="13"/>
  <c r="U80" i="5"/>
  <c r="X65" i="13"/>
  <c r="G114" i="13"/>
  <c r="K114" i="13"/>
  <c r="P88" i="13"/>
  <c r="X88" i="13" s="1"/>
  <c r="G41" i="13"/>
  <c r="U91" i="5"/>
  <c r="P71" i="13"/>
  <c r="U83" i="5"/>
  <c r="P78" i="16"/>
  <c r="R78" i="16" s="1"/>
  <c r="T78" i="16" s="1"/>
  <c r="G78" i="16"/>
  <c r="K78" i="16"/>
  <c r="G104" i="16"/>
  <c r="K104" i="16"/>
  <c r="P104" i="16"/>
  <c r="P77" i="16"/>
  <c r="R77" i="16" s="1"/>
  <c r="T77" i="16" s="1"/>
  <c r="G77" i="16"/>
  <c r="K77" i="16"/>
  <c r="P71" i="16"/>
  <c r="R71" i="16" s="1"/>
  <c r="T71" i="16" s="1"/>
  <c r="G71" i="16"/>
  <c r="K71" i="16"/>
  <c r="P60" i="16"/>
  <c r="R60" i="16" s="1"/>
  <c r="T60" i="16" s="1"/>
  <c r="G60" i="16"/>
  <c r="K60" i="16"/>
  <c r="P54" i="16"/>
  <c r="R54" i="16" s="1"/>
  <c r="T54" i="16" s="1"/>
  <c r="G54" i="16"/>
  <c r="H54" i="16"/>
  <c r="P46" i="16"/>
  <c r="R46" i="16" s="1"/>
  <c r="T46" i="16" s="1"/>
  <c r="G46" i="16"/>
  <c r="K46" i="16"/>
  <c r="G109" i="16"/>
  <c r="P109" i="16"/>
  <c r="R109" i="16" s="1"/>
  <c r="T109" i="16" s="1"/>
  <c r="G96" i="16"/>
  <c r="K96" i="16"/>
  <c r="P96" i="16"/>
  <c r="R96" i="16" s="1"/>
  <c r="T96" i="16" s="1"/>
  <c r="R90" i="16"/>
  <c r="T90" i="16" s="1"/>
  <c r="G86" i="16"/>
  <c r="K86" i="16"/>
  <c r="P86" i="16"/>
  <c r="P82" i="16"/>
  <c r="R82" i="16" s="1"/>
  <c r="T82" i="16" s="1"/>
  <c r="G82" i="16"/>
  <c r="K82" i="16"/>
  <c r="P63" i="16"/>
  <c r="R63" i="16" s="1"/>
  <c r="T63" i="16" s="1"/>
  <c r="G63" i="16"/>
  <c r="K63" i="16"/>
  <c r="P51" i="16"/>
  <c r="R51" i="16" s="1"/>
  <c r="T51" i="16"/>
  <c r="G51" i="16"/>
  <c r="K51" i="16"/>
  <c r="P53" i="16"/>
  <c r="R53" i="16" s="1"/>
  <c r="T53" i="16" s="1"/>
  <c r="G53" i="16"/>
  <c r="H53" i="16"/>
  <c r="P44" i="16"/>
  <c r="G44" i="16"/>
  <c r="I44" i="16"/>
  <c r="G93" i="16"/>
  <c r="K93" i="16"/>
  <c r="P93" i="16"/>
  <c r="R93" i="16" s="1"/>
  <c r="T93" i="16" s="1"/>
  <c r="G56" i="16"/>
  <c r="K56" i="16"/>
  <c r="P56" i="16"/>
  <c r="G32" i="16"/>
  <c r="H32" i="16"/>
  <c r="P32" i="16"/>
  <c r="R32" i="16" s="1"/>
  <c r="T32" i="16" s="1"/>
  <c r="P22" i="16"/>
  <c r="R22" i="16" s="1"/>
  <c r="T22" i="16" s="1"/>
  <c r="G22" i="16"/>
  <c r="H22" i="16"/>
  <c r="P88" i="16"/>
  <c r="R88" i="16" s="1"/>
  <c r="T88" i="16" s="1"/>
  <c r="G88" i="16"/>
  <c r="K88" i="16"/>
  <c r="G117" i="16"/>
  <c r="K117" i="16"/>
  <c r="P117" i="16"/>
  <c r="P65" i="16"/>
  <c r="R65" i="16"/>
  <c r="T65" i="16" s="1"/>
  <c r="G65" i="16"/>
  <c r="K65" i="16"/>
  <c r="G62" i="16"/>
  <c r="K62" i="16"/>
  <c r="P62" i="16"/>
  <c r="G41" i="16"/>
  <c r="J41" i="16"/>
  <c r="P41" i="16"/>
  <c r="R41" i="16" s="1"/>
  <c r="T41" i="16" s="1"/>
  <c r="G36" i="16"/>
  <c r="J36" i="16"/>
  <c r="P36" i="16"/>
  <c r="R36" i="16" s="1"/>
  <c r="T36" i="16" s="1"/>
  <c r="P26" i="16"/>
  <c r="R26" i="16" s="1"/>
  <c r="T26" i="16" s="1"/>
  <c r="G26" i="16"/>
  <c r="H26" i="16"/>
  <c r="P48" i="16"/>
  <c r="R48" i="16" s="1"/>
  <c r="T48" i="16" s="1"/>
  <c r="G48" i="16"/>
  <c r="K48" i="16"/>
  <c r="G97" i="16"/>
  <c r="K97" i="16"/>
  <c r="P97" i="16"/>
  <c r="P75" i="16"/>
  <c r="R75" i="16" s="1"/>
  <c r="T75" i="16" s="1"/>
  <c r="G75" i="16"/>
  <c r="K75" i="16"/>
  <c r="P67" i="16"/>
  <c r="R67" i="16" s="1"/>
  <c r="T67" i="16" s="1"/>
  <c r="G67" i="16"/>
  <c r="K67" i="16"/>
  <c r="G35" i="16"/>
  <c r="J35" i="16"/>
  <c r="P35" i="16"/>
  <c r="R35" i="16" s="1"/>
  <c r="T35" i="16" s="1"/>
  <c r="G25" i="16"/>
  <c r="H25" i="16"/>
  <c r="P25" i="16"/>
  <c r="R25" i="16" s="1"/>
  <c r="T25" i="16" s="1"/>
  <c r="G110" i="16"/>
  <c r="K110" i="16"/>
  <c r="P110" i="16"/>
  <c r="R110" i="16" s="1"/>
  <c r="T110" i="16" s="1"/>
  <c r="G98" i="16"/>
  <c r="K98" i="16"/>
  <c r="P98" i="16"/>
  <c r="R98" i="16" s="1"/>
  <c r="T98" i="16" s="1"/>
  <c r="G80" i="16"/>
  <c r="K80" i="16"/>
  <c r="P80" i="16"/>
  <c r="R80" i="16" s="1"/>
  <c r="T80" i="16" s="1"/>
  <c r="K58" i="16"/>
  <c r="P55" i="16"/>
  <c r="R55" i="16" s="1"/>
  <c r="T55" i="16" s="1"/>
  <c r="G55" i="16"/>
  <c r="K55" i="16"/>
  <c r="P21" i="16"/>
  <c r="R21" i="16" s="1"/>
  <c r="T21" i="16" s="1"/>
  <c r="G21" i="16"/>
  <c r="H21" i="16"/>
  <c r="G84" i="16"/>
  <c r="K84" i="16"/>
  <c r="P84" i="16"/>
  <c r="P64" i="16"/>
  <c r="R64" i="16" s="1"/>
  <c r="T64" i="16" s="1"/>
  <c r="G64" i="16"/>
  <c r="K64" i="16"/>
  <c r="P34" i="16"/>
  <c r="G34" i="16"/>
  <c r="J34" i="16"/>
  <c r="G120" i="16"/>
  <c r="K120" i="16"/>
  <c r="P120" i="16"/>
  <c r="R120" i="16" s="1"/>
  <c r="T120" i="16" s="1"/>
  <c r="P105" i="16"/>
  <c r="R105" i="16" s="1"/>
  <c r="T105" i="16"/>
  <c r="G105" i="16"/>
  <c r="K105" i="16"/>
  <c r="R94" i="16"/>
  <c r="T94" i="16" s="1"/>
  <c r="G39" i="16"/>
  <c r="J39" i="16"/>
  <c r="P33" i="16"/>
  <c r="R33" i="16" s="1"/>
  <c r="T33" i="16" s="1"/>
  <c r="G57" i="16"/>
  <c r="K57" i="16"/>
  <c r="P30" i="16"/>
  <c r="R30" i="16"/>
  <c r="T30" i="16" s="1"/>
  <c r="G89" i="16"/>
  <c r="K89" i="16"/>
  <c r="G81" i="16"/>
  <c r="K81" i="16"/>
  <c r="G76" i="16"/>
  <c r="K76" i="16"/>
  <c r="G59" i="16"/>
  <c r="K59" i="16"/>
  <c r="G29" i="16"/>
  <c r="H29" i="16"/>
  <c r="P108" i="16"/>
  <c r="R108" i="16"/>
  <c r="T108" i="16" s="1"/>
  <c r="P27" i="16"/>
  <c r="R27" i="16" s="1"/>
  <c r="T27" i="16" s="1"/>
  <c r="R100" i="16"/>
  <c r="T100" i="16" s="1"/>
  <c r="G99" i="16"/>
  <c r="K99" i="16"/>
  <c r="G95" i="16"/>
  <c r="K95" i="16"/>
  <c r="G92" i="16"/>
  <c r="K92" i="16"/>
  <c r="G52" i="16"/>
  <c r="K52" i="16"/>
  <c r="G49" i="16"/>
  <c r="K49" i="16"/>
  <c r="G79" i="16"/>
  <c r="K79" i="16"/>
  <c r="G66" i="16"/>
  <c r="K66" i="16"/>
  <c r="G121" i="16"/>
  <c r="K121" i="16"/>
  <c r="G111" i="16"/>
  <c r="K111" i="16"/>
  <c r="G28" i="16"/>
  <c r="H28" i="16"/>
  <c r="G87" i="16"/>
  <c r="K87" i="16"/>
  <c r="G123" i="16"/>
  <c r="K123" i="16"/>
  <c r="G115" i="16"/>
  <c r="K115" i="16"/>
  <c r="P119" i="16"/>
  <c r="R119" i="16" s="1"/>
  <c r="T119" i="16" s="1"/>
  <c r="P113" i="16"/>
  <c r="K119" i="16"/>
  <c r="K113" i="16"/>
  <c r="R113" i="16"/>
  <c r="T113" i="16" s="1"/>
  <c r="G101" i="16"/>
  <c r="P101" i="16"/>
  <c r="R101" i="16" s="1"/>
  <c r="T101" i="16" s="1"/>
  <c r="P118" i="16"/>
  <c r="R118" i="16" s="1"/>
  <c r="T118" i="16" s="1"/>
  <c r="P116" i="16"/>
  <c r="R116" i="16" s="1"/>
  <c r="T116" i="16" s="1"/>
  <c r="P112" i="16"/>
  <c r="R112" i="16" s="1"/>
  <c r="T112" i="16" s="1"/>
  <c r="P107" i="16"/>
  <c r="R107" i="16" s="1"/>
  <c r="T107" i="16" s="1"/>
  <c r="K113" i="5"/>
  <c r="K117" i="5"/>
  <c r="G101" i="5"/>
  <c r="G123" i="5"/>
  <c r="K123" i="5"/>
  <c r="G121" i="5"/>
  <c r="K121" i="5"/>
  <c r="G115" i="5"/>
  <c r="K115" i="5"/>
  <c r="G111" i="5"/>
  <c r="K111" i="5"/>
  <c r="G105" i="5"/>
  <c r="K105" i="5"/>
  <c r="P112" i="5"/>
  <c r="R112" i="5" s="1"/>
  <c r="T112" i="5" s="1"/>
  <c r="X78" i="13"/>
  <c r="N13" i="7"/>
  <c r="C13" i="7"/>
  <c r="B15" i="2"/>
  <c r="P13" i="2"/>
  <c r="W7" i="12"/>
  <c r="P31" i="16"/>
  <c r="R31" i="16"/>
  <c r="T31" i="16" s="1"/>
  <c r="P23" i="16"/>
  <c r="R23" i="16" s="1"/>
  <c r="T23" i="16" s="1"/>
  <c r="W6" i="16"/>
  <c r="W4" i="16"/>
  <c r="I79" i="8"/>
  <c r="I47" i="8"/>
  <c r="J82" i="7"/>
  <c r="J61" i="7"/>
  <c r="J30" i="7"/>
  <c r="W13" i="16"/>
  <c r="W5" i="16"/>
  <c r="I56" i="8"/>
  <c r="I24" i="8"/>
  <c r="P50" i="16"/>
  <c r="R50" i="16" s="1"/>
  <c r="T50" i="16" s="1"/>
  <c r="W12" i="16"/>
  <c r="H79" i="8"/>
  <c r="J47" i="7"/>
  <c r="W11" i="16"/>
  <c r="J56" i="7"/>
  <c r="H83" i="7"/>
  <c r="W10" i="16"/>
  <c r="W3" i="16"/>
  <c r="J34" i="7"/>
  <c r="P38" i="16"/>
  <c r="R38" i="16" s="1"/>
  <c r="T38" i="16" s="1"/>
  <c r="W9" i="16"/>
  <c r="H38" i="8"/>
  <c r="G96" i="5"/>
  <c r="K96" i="5"/>
  <c r="G76" i="5"/>
  <c r="K76" i="5"/>
  <c r="G108" i="5"/>
  <c r="K108" i="5"/>
  <c r="G51" i="5"/>
  <c r="P92" i="5"/>
  <c r="R92" i="5" s="1"/>
  <c r="T92" i="5" s="1"/>
  <c r="G92" i="5"/>
  <c r="K92" i="5"/>
  <c r="K67" i="13"/>
  <c r="R89" i="13"/>
  <c r="T89" i="13" s="1"/>
  <c r="G60" i="13"/>
  <c r="K60" i="13"/>
  <c r="P60" i="13"/>
  <c r="R60" i="13" s="1"/>
  <c r="T60" i="13" s="1"/>
  <c r="I44" i="13"/>
  <c r="X44" i="13"/>
  <c r="K58" i="13"/>
  <c r="X58" i="13"/>
  <c r="P49" i="13"/>
  <c r="G49" i="13"/>
  <c r="R27" i="13"/>
  <c r="T27" i="13" s="1"/>
  <c r="X72" i="13"/>
  <c r="K72" i="13"/>
  <c r="K69" i="13"/>
  <c r="X69" i="13"/>
  <c r="G52" i="13"/>
  <c r="P52" i="13"/>
  <c r="R52" i="13"/>
  <c r="T52" i="13" s="1"/>
  <c r="R24" i="13"/>
  <c r="T24" i="13" s="1"/>
  <c r="R44" i="13"/>
  <c r="T44" i="13"/>
  <c r="R58" i="13"/>
  <c r="T58" i="13" s="1"/>
  <c r="R96" i="13"/>
  <c r="T96" i="13" s="1"/>
  <c r="R72" i="13"/>
  <c r="T72" i="13" s="1"/>
  <c r="R78" i="13"/>
  <c r="T78" i="13" s="1"/>
  <c r="K74" i="13"/>
  <c r="R109" i="13"/>
  <c r="T109" i="13"/>
  <c r="R107" i="13"/>
  <c r="T107" i="13" s="1"/>
  <c r="R119" i="13"/>
  <c r="T119" i="13" s="1"/>
  <c r="K80" i="13"/>
  <c r="X80" i="13"/>
  <c r="X71" i="13"/>
  <c r="R71" i="13"/>
  <c r="T71" i="13"/>
  <c r="K63" i="13"/>
  <c r="X63" i="13"/>
  <c r="X55" i="13"/>
  <c r="R55" i="13"/>
  <c r="T55" i="13" s="1"/>
  <c r="P46" i="13"/>
  <c r="X46" i="13" s="1"/>
  <c r="G46" i="13"/>
  <c r="K46" i="13"/>
  <c r="X59" i="13"/>
  <c r="J36" i="13"/>
  <c r="X36" i="13"/>
  <c r="R80" i="13"/>
  <c r="T80" i="13" s="1"/>
  <c r="P43" i="13"/>
  <c r="R43" i="13" s="1"/>
  <c r="T43" i="13"/>
  <c r="G43" i="13"/>
  <c r="K81" i="13"/>
  <c r="R101" i="13"/>
  <c r="T101" i="13"/>
  <c r="G82" i="13"/>
  <c r="P82" i="13"/>
  <c r="R82" i="13"/>
  <c r="T82" i="13" s="1"/>
  <c r="G47" i="13"/>
  <c r="P47" i="13"/>
  <c r="X41" i="13"/>
  <c r="J41" i="13"/>
  <c r="X39" i="13"/>
  <c r="R39" i="13"/>
  <c r="T39" i="13" s="1"/>
  <c r="H54" i="13"/>
  <c r="R54" i="13"/>
  <c r="T54" i="13" s="1"/>
  <c r="X83" i="13"/>
  <c r="R83" i="13"/>
  <c r="T83" i="13" s="1"/>
  <c r="R97" i="13"/>
  <c r="T97" i="13" s="1"/>
  <c r="R41" i="13"/>
  <c r="T41" i="13"/>
  <c r="R36" i="13"/>
  <c r="T36" i="13"/>
  <c r="R81" i="13"/>
  <c r="T81" i="13" s="1"/>
  <c r="X54" i="13"/>
  <c r="X42" i="13"/>
  <c r="R42" i="13"/>
  <c r="T42" i="13" s="1"/>
  <c r="P68" i="13"/>
  <c r="G68" i="13"/>
  <c r="K68" i="13"/>
  <c r="K84" i="13"/>
  <c r="R63" i="13"/>
  <c r="T63" i="13"/>
  <c r="R90" i="13"/>
  <c r="T90" i="13" s="1"/>
  <c r="R31" i="13"/>
  <c r="T31" i="13" s="1"/>
  <c r="X38" i="13"/>
  <c r="J38" i="13"/>
  <c r="K109" i="16"/>
  <c r="R84" i="16"/>
  <c r="T84" i="16" s="1"/>
  <c r="R86" i="16"/>
  <c r="T86" i="16" s="1"/>
  <c r="R117" i="16"/>
  <c r="T117" i="16"/>
  <c r="R99" i="16"/>
  <c r="T99" i="16" s="1"/>
  <c r="R97" i="16"/>
  <c r="T97" i="16"/>
  <c r="R44" i="16"/>
  <c r="T44" i="16" s="1"/>
  <c r="R104" i="16"/>
  <c r="T104" i="16" s="1"/>
  <c r="R34" i="16"/>
  <c r="T34" i="16" s="1"/>
  <c r="R56" i="16"/>
  <c r="T56" i="16"/>
  <c r="R62" i="16"/>
  <c r="T62" i="16"/>
  <c r="K101" i="16"/>
  <c r="K101" i="5"/>
  <c r="K51" i="5"/>
  <c r="I43" i="13"/>
  <c r="K47" i="13"/>
  <c r="K82" i="13"/>
  <c r="X82" i="13"/>
  <c r="R46" i="13"/>
  <c r="T46" i="13" s="1"/>
  <c r="X49" i="13"/>
  <c r="K49" i="13"/>
  <c r="R49" i="13"/>
  <c r="T49" i="13" s="1"/>
  <c r="K52" i="13"/>
  <c r="X52" i="13"/>
  <c r="C12" i="1"/>
  <c r="C12" i="12"/>
  <c r="C11" i="12"/>
  <c r="C18" i="7"/>
  <c r="C11" i="1"/>
  <c r="M13" i="8" l="1"/>
  <c r="O13" i="8"/>
  <c r="L13" i="8"/>
  <c r="X60" i="13"/>
  <c r="R61" i="13"/>
  <c r="T61" i="13" s="1"/>
  <c r="I37" i="8"/>
  <c r="K70" i="8"/>
  <c r="K30" i="8"/>
  <c r="L22" i="8"/>
  <c r="L50" i="8"/>
  <c r="F26" i="7"/>
  <c r="K66" i="7"/>
  <c r="J58" i="7"/>
  <c r="L68" i="7"/>
  <c r="L52" i="7"/>
  <c r="K75" i="7"/>
  <c r="K52" i="7"/>
  <c r="F45" i="7"/>
  <c r="F32" i="7"/>
  <c r="I49" i="7"/>
  <c r="I38" i="7"/>
  <c r="R64" i="13"/>
  <c r="T64" i="13" s="1"/>
  <c r="P49" i="16"/>
  <c r="R49" i="16" s="1"/>
  <c r="T49" i="16" s="1"/>
  <c r="P106" i="16"/>
  <c r="R106" i="16" s="1"/>
  <c r="T106" i="16" s="1"/>
  <c r="P91" i="16"/>
  <c r="R91" i="16" s="1"/>
  <c r="T91" i="16" s="1"/>
  <c r="J71" i="8"/>
  <c r="J50" i="8"/>
  <c r="H83" i="8"/>
  <c r="H67" i="8"/>
  <c r="H31" i="8"/>
  <c r="I84" i="8"/>
  <c r="I60" i="8"/>
  <c r="I31" i="8"/>
  <c r="P132" i="16"/>
  <c r="R132" i="16" s="1"/>
  <c r="T132" i="16" s="1"/>
  <c r="F65" i="8"/>
  <c r="K81" i="7"/>
  <c r="J65" i="7"/>
  <c r="J38" i="7"/>
  <c r="F37" i="8"/>
  <c r="L70" i="8"/>
  <c r="L30" i="8"/>
  <c r="K71" i="8"/>
  <c r="K50" i="8"/>
  <c r="H58" i="7"/>
  <c r="L26" i="7"/>
  <c r="K72" i="7"/>
  <c r="K51" i="7"/>
  <c r="F44" i="7"/>
  <c r="I47" i="7"/>
  <c r="W4" i="12"/>
  <c r="P95" i="16"/>
  <c r="R95" i="16" s="1"/>
  <c r="T95" i="16" s="1"/>
  <c r="P87" i="16"/>
  <c r="R87" i="16" s="1"/>
  <c r="T87" i="16" s="1"/>
  <c r="P85" i="16"/>
  <c r="R85" i="16" s="1"/>
  <c r="T85" i="16" s="1"/>
  <c r="P68" i="16"/>
  <c r="R68" i="16" s="1"/>
  <c r="T68" i="16" s="1"/>
  <c r="J70" i="8"/>
  <c r="H81" i="8"/>
  <c r="H65" i="8"/>
  <c r="H30" i="8"/>
  <c r="I80" i="8"/>
  <c r="I59" i="8"/>
  <c r="I27" i="8"/>
  <c r="F80" i="8"/>
  <c r="F27" i="8"/>
  <c r="F70" i="8"/>
  <c r="L65" i="8"/>
  <c r="L83" i="8"/>
  <c r="L43" i="8"/>
  <c r="L71" i="8"/>
  <c r="L80" i="7"/>
  <c r="J80" i="7"/>
  <c r="L47" i="7"/>
  <c r="F72" i="7"/>
  <c r="I72" i="7"/>
  <c r="I34" i="7"/>
  <c r="J72" i="7"/>
  <c r="J32" i="7"/>
  <c r="P66" i="16"/>
  <c r="R66" i="16" s="1"/>
  <c r="T66" i="16" s="1"/>
  <c r="P89" i="16"/>
  <c r="R89" i="16" s="1"/>
  <c r="T89" i="16" s="1"/>
  <c r="P28" i="16"/>
  <c r="R28" i="16" s="1"/>
  <c r="T28" i="16" s="1"/>
  <c r="J84" i="8"/>
  <c r="H46" i="8"/>
  <c r="I78" i="8"/>
  <c r="I23" i="8"/>
  <c r="J37" i="8"/>
  <c r="X43" i="13"/>
  <c r="R75" i="13"/>
  <c r="T75" i="13" s="1"/>
  <c r="K29" i="8"/>
  <c r="K65" i="8"/>
  <c r="K83" i="8"/>
  <c r="K43" i="8"/>
  <c r="L76" i="8"/>
  <c r="L59" i="8"/>
  <c r="I32" i="7"/>
  <c r="L32" i="7"/>
  <c r="K80" i="7"/>
  <c r="L45" i="7"/>
  <c r="L65" i="7"/>
  <c r="L63" i="7"/>
  <c r="K68" i="7"/>
  <c r="K40" i="7"/>
  <c r="F40" i="7"/>
  <c r="F28" i="7"/>
  <c r="I45" i="7"/>
  <c r="J49" i="7"/>
  <c r="H68" i="7"/>
  <c r="H28" i="7"/>
  <c r="H22" i="7"/>
  <c r="P52" i="16"/>
  <c r="R52" i="16" s="1"/>
  <c r="T52" i="16" s="1"/>
  <c r="P81" i="16"/>
  <c r="R81" i="16" s="1"/>
  <c r="T81" i="16" s="1"/>
  <c r="P74" i="16"/>
  <c r="R74" i="16" s="1"/>
  <c r="T74" i="16" s="1"/>
  <c r="P58" i="16"/>
  <c r="R58" i="16" s="1"/>
  <c r="T58" i="16" s="1"/>
  <c r="J67" i="8"/>
  <c r="J31" i="8"/>
  <c r="H76" i="8"/>
  <c r="H60" i="8"/>
  <c r="H44" i="8"/>
  <c r="I72" i="8"/>
  <c r="I43" i="8"/>
  <c r="I22" i="8"/>
  <c r="F67" i="8"/>
  <c r="F60" i="8"/>
  <c r="J21" i="2"/>
  <c r="H29" i="8"/>
  <c r="L29" i="8"/>
  <c r="L44" i="8"/>
  <c r="K76" i="8"/>
  <c r="L36" i="8"/>
  <c r="K59" i="8"/>
  <c r="J26" i="7"/>
  <c r="K32" i="7"/>
  <c r="K45" i="7"/>
  <c r="K65" i="7"/>
  <c r="F52" i="7"/>
  <c r="H59" i="8"/>
  <c r="I71" i="8"/>
  <c r="R35" i="13"/>
  <c r="T35" i="13" s="1"/>
  <c r="H70" i="8"/>
  <c r="R88" i="13"/>
  <c r="T88" i="13" s="1"/>
  <c r="K44" i="8"/>
  <c r="K36" i="8"/>
  <c r="I26" i="7"/>
  <c r="K23" i="8"/>
  <c r="K28" i="7"/>
  <c r="F81" i="7"/>
  <c r="F49" i="7"/>
  <c r="J45" i="7"/>
  <c r="R76" i="13"/>
  <c r="T76" i="13" s="1"/>
  <c r="P79" i="16"/>
  <c r="R79" i="16" s="1"/>
  <c r="T79" i="16" s="1"/>
  <c r="P69" i="16"/>
  <c r="R69" i="16" s="1"/>
  <c r="T69" i="16" s="1"/>
  <c r="P42" i="16"/>
  <c r="R42" i="16" s="1"/>
  <c r="T42" i="16" s="1"/>
  <c r="J44" i="8"/>
  <c r="H36" i="8"/>
  <c r="H25" i="8"/>
  <c r="I83" i="8"/>
  <c r="F30" i="8"/>
  <c r="P133" i="5"/>
  <c r="G133" i="5"/>
  <c r="K133" i="5" s="1"/>
  <c r="G132" i="5"/>
  <c r="K132" i="5" s="1"/>
  <c r="P132" i="5"/>
  <c r="G131" i="5"/>
  <c r="K131" i="5" s="1"/>
  <c r="P131" i="5"/>
  <c r="R131" i="5" s="1"/>
  <c r="T131" i="5" s="1"/>
  <c r="G130" i="5"/>
  <c r="K130" i="5" s="1"/>
  <c r="P130" i="5"/>
  <c r="R130" i="5" s="1"/>
  <c r="T130" i="5" s="1"/>
  <c r="P128" i="13"/>
  <c r="R128" i="13" s="1"/>
  <c r="T128" i="13" s="1"/>
  <c r="G128" i="13"/>
  <c r="K128" i="13" s="1"/>
  <c r="G127" i="13"/>
  <c r="K127" i="13" s="1"/>
  <c r="P127" i="13"/>
  <c r="R127" i="13" s="1"/>
  <c r="T127" i="13" s="1"/>
  <c r="G126" i="13"/>
  <c r="K126" i="13" s="1"/>
  <c r="P126" i="13"/>
  <c r="R126" i="13" s="1"/>
  <c r="T126" i="13" s="1"/>
  <c r="G125" i="13"/>
  <c r="K125" i="13" s="1"/>
  <c r="P125" i="13"/>
  <c r="R125" i="13" s="1"/>
  <c r="T125" i="13" s="1"/>
  <c r="G133" i="16"/>
  <c r="K133" i="16" s="1"/>
  <c r="P133" i="16"/>
  <c r="G131" i="16"/>
  <c r="K131" i="16" s="1"/>
  <c r="P131" i="16"/>
  <c r="R131" i="16" s="1"/>
  <c r="T131" i="16" s="1"/>
  <c r="G130" i="16"/>
  <c r="K130" i="16" s="1"/>
  <c r="P130" i="16"/>
  <c r="R130" i="16" s="1"/>
  <c r="T130" i="16" s="1"/>
  <c r="P124" i="16"/>
  <c r="G124" i="16"/>
  <c r="K124" i="16" s="1"/>
  <c r="D13" i="7"/>
  <c r="B15" i="7"/>
  <c r="H13" i="7"/>
  <c r="J13" i="7"/>
  <c r="I13" i="7"/>
  <c r="G13" i="7"/>
  <c r="F13" i="7"/>
  <c r="P13" i="7"/>
  <c r="O13" i="7"/>
  <c r="M13" i="7"/>
  <c r="E13" i="7"/>
  <c r="L13" i="7"/>
  <c r="Q13" i="7"/>
  <c r="K13" i="7"/>
  <c r="X74" i="13"/>
  <c r="R74" i="13"/>
  <c r="T74" i="13" s="1"/>
  <c r="X50" i="13"/>
  <c r="R50" i="13"/>
  <c r="T50" i="13" s="1"/>
  <c r="R47" i="13"/>
  <c r="T47" i="13" s="1"/>
  <c r="X47" i="13"/>
  <c r="X67" i="13"/>
  <c r="R67" i="13"/>
  <c r="T67" i="13" s="1"/>
  <c r="C13" i="2"/>
  <c r="G13" i="2"/>
  <c r="F13" i="2"/>
  <c r="N13" i="2"/>
  <c r="H13" i="2"/>
  <c r="D13" i="2"/>
  <c r="O13" i="2"/>
  <c r="K13" i="2"/>
  <c r="I13" i="2"/>
  <c r="M13" i="2"/>
  <c r="L13" i="2"/>
  <c r="E13" i="2"/>
  <c r="Q13" i="2"/>
  <c r="J13" i="2"/>
  <c r="R68" i="13"/>
  <c r="T68" i="13" s="1"/>
  <c r="X68" i="13"/>
  <c r="P51" i="5"/>
  <c r="R51" i="5" s="1"/>
  <c r="T51" i="5" s="1"/>
  <c r="J73" i="7"/>
  <c r="F13" i="8"/>
  <c r="K13" i="8"/>
  <c r="P101" i="5"/>
  <c r="R101" i="5" s="1"/>
  <c r="T101" i="5" s="1"/>
  <c r="P103" i="5"/>
  <c r="R103" i="5" s="1"/>
  <c r="T103" i="5" s="1"/>
  <c r="P23" i="5"/>
  <c r="R23" i="5" s="1"/>
  <c r="T23" i="5" s="1"/>
  <c r="P48" i="5"/>
  <c r="R48" i="5" s="1"/>
  <c r="T48" i="5" s="1"/>
  <c r="P47" i="5"/>
  <c r="R47" i="5" s="1"/>
  <c r="T47" i="5" s="1"/>
  <c r="P45" i="5"/>
  <c r="R45" i="5" s="1"/>
  <c r="T45" i="5" s="1"/>
  <c r="P41" i="5"/>
  <c r="R41" i="5" s="1"/>
  <c r="T41" i="5" s="1"/>
  <c r="P62" i="5"/>
  <c r="R62" i="5" s="1"/>
  <c r="T62" i="5" s="1"/>
  <c r="P34" i="5"/>
  <c r="R34" i="5" s="1"/>
  <c r="T34" i="5" s="1"/>
  <c r="P94" i="5"/>
  <c r="R94" i="5" s="1"/>
  <c r="T94" i="5" s="1"/>
  <c r="P74" i="5"/>
  <c r="R74" i="5" s="1"/>
  <c r="T74" i="5" s="1"/>
  <c r="F69" i="8"/>
  <c r="K45" i="8"/>
  <c r="K51" i="8"/>
  <c r="J42" i="7"/>
  <c r="K54" i="7"/>
  <c r="K64" i="7"/>
  <c r="H59" i="7"/>
  <c r="K33" i="7"/>
  <c r="P67" i="5"/>
  <c r="R67" i="5" s="1"/>
  <c r="T67" i="5" s="1"/>
  <c r="H78" i="7"/>
  <c r="H73" i="7"/>
  <c r="H64" i="7"/>
  <c r="H54" i="7"/>
  <c r="H33" i="7"/>
  <c r="W20" i="5"/>
  <c r="W17" i="16"/>
  <c r="J58" i="8"/>
  <c r="H63" i="8"/>
  <c r="F58" i="8"/>
  <c r="P118" i="13"/>
  <c r="P114" i="13"/>
  <c r="R114" i="13" s="1"/>
  <c r="T114" i="13" s="1"/>
  <c r="P122" i="16"/>
  <c r="R122" i="16" s="1"/>
  <c r="T122" i="16" s="1"/>
  <c r="P124" i="13"/>
  <c r="R124" i="13" s="1"/>
  <c r="T124" i="13" s="1"/>
  <c r="I13" i="8"/>
  <c r="D13" i="8"/>
  <c r="P116" i="5"/>
  <c r="R116" i="5" s="1"/>
  <c r="T116" i="5" s="1"/>
  <c r="X70" i="13"/>
  <c r="P114" i="5"/>
  <c r="R114" i="5" s="1"/>
  <c r="T114" i="5" s="1"/>
  <c r="P70" i="5"/>
  <c r="R70" i="5" s="1"/>
  <c r="T70" i="5" s="1"/>
  <c r="P95" i="5"/>
  <c r="R95" i="5" s="1"/>
  <c r="T95" i="5" s="1"/>
  <c r="P58" i="5"/>
  <c r="R58" i="5" s="1"/>
  <c r="T58" i="5" s="1"/>
  <c r="P72" i="5"/>
  <c r="R72" i="5" s="1"/>
  <c r="T72" i="5" s="1"/>
  <c r="P65" i="5"/>
  <c r="R65" i="5" s="1"/>
  <c r="T65" i="5" s="1"/>
  <c r="L33" i="8"/>
  <c r="L39" i="8"/>
  <c r="K63" i="8"/>
  <c r="J64" i="7"/>
  <c r="K78" i="7"/>
  <c r="P42" i="5"/>
  <c r="R42" i="5" s="1"/>
  <c r="T42" i="5" s="1"/>
  <c r="P25" i="5"/>
  <c r="R25" i="5" s="1"/>
  <c r="T25" i="5" s="1"/>
  <c r="F78" i="7"/>
  <c r="I73" i="7"/>
  <c r="P54" i="12"/>
  <c r="R54" i="12" s="1"/>
  <c r="T54" i="12" s="1"/>
  <c r="W12" i="5"/>
  <c r="J51" i="8"/>
  <c r="F54" i="7"/>
  <c r="P108" i="5"/>
  <c r="R108" i="5" s="1"/>
  <c r="T108" i="5" s="1"/>
  <c r="P13" i="8"/>
  <c r="G13" i="8"/>
  <c r="P118" i="5"/>
  <c r="R118" i="5" s="1"/>
  <c r="T118" i="5" s="1"/>
  <c r="P122" i="5"/>
  <c r="R122" i="5" s="1"/>
  <c r="T122" i="5" s="1"/>
  <c r="P29" i="5"/>
  <c r="R29" i="5" s="1"/>
  <c r="T29" i="5" s="1"/>
  <c r="P38" i="5"/>
  <c r="R38" i="5" s="1"/>
  <c r="T38" i="5" s="1"/>
  <c r="P104" i="5"/>
  <c r="R104" i="5" s="1"/>
  <c r="T104" i="5" s="1"/>
  <c r="P117" i="5"/>
  <c r="R117" i="5" s="1"/>
  <c r="T117" i="5" s="1"/>
  <c r="P90" i="5"/>
  <c r="R90" i="5" s="1"/>
  <c r="T90" i="5" s="1"/>
  <c r="P60" i="5"/>
  <c r="R60" i="5" s="1"/>
  <c r="T60" i="5" s="1"/>
  <c r="P52" i="5"/>
  <c r="R52" i="5" s="1"/>
  <c r="T52" i="5" s="1"/>
  <c r="P66" i="5"/>
  <c r="R66" i="5" s="1"/>
  <c r="T66" i="5" s="1"/>
  <c r="P88" i="5"/>
  <c r="R88" i="5" s="1"/>
  <c r="T88" i="5" s="1"/>
  <c r="H45" i="8"/>
  <c r="K33" i="8"/>
  <c r="L63" i="8"/>
  <c r="L73" i="7"/>
  <c r="K59" i="7"/>
  <c r="F64" i="7"/>
  <c r="H52" i="7"/>
  <c r="J21" i="7"/>
  <c r="W9" i="5"/>
  <c r="P76" i="16"/>
  <c r="R76" i="16" s="1"/>
  <c r="T76" i="16" s="1"/>
  <c r="P43" i="16"/>
  <c r="R43" i="16" s="1"/>
  <c r="T43" i="16" s="1"/>
  <c r="P39" i="16"/>
  <c r="R39" i="16" s="1"/>
  <c r="T39" i="16" s="1"/>
  <c r="W2" i="16"/>
  <c r="H84" i="8"/>
  <c r="H73" i="8"/>
  <c r="I75" i="8"/>
  <c r="F56" i="8"/>
  <c r="F43" i="8"/>
  <c r="P120" i="5"/>
  <c r="R120" i="5" s="1"/>
  <c r="T120" i="5" s="1"/>
  <c r="J78" i="7"/>
  <c r="J13" i="8"/>
  <c r="B15" i="8"/>
  <c r="P124" i="5"/>
  <c r="R124" i="5" s="1"/>
  <c r="T124" i="5" s="1"/>
  <c r="R118" i="13"/>
  <c r="T118" i="13" s="1"/>
  <c r="P93" i="5"/>
  <c r="R93" i="5" s="1"/>
  <c r="T93" i="5" s="1"/>
  <c r="P64" i="5"/>
  <c r="R64" i="5" s="1"/>
  <c r="T64" i="5" s="1"/>
  <c r="P49" i="5"/>
  <c r="R49" i="5" s="1"/>
  <c r="T49" i="5" s="1"/>
  <c r="P91" i="5"/>
  <c r="R91" i="5" s="1"/>
  <c r="T91" i="5" s="1"/>
  <c r="P56" i="5"/>
  <c r="R56" i="5" s="1"/>
  <c r="T56" i="5" s="1"/>
  <c r="J45" i="8"/>
  <c r="K69" i="8"/>
  <c r="K73" i="7"/>
  <c r="L59" i="7"/>
  <c r="K42" i="7"/>
  <c r="W4" i="5"/>
  <c r="H58" i="8"/>
  <c r="I58" i="8"/>
  <c r="N13" i="8"/>
  <c r="Q13" i="8"/>
  <c r="P50" i="5"/>
  <c r="R50" i="5" s="1"/>
  <c r="T50" i="5" s="1"/>
  <c r="P89" i="5"/>
  <c r="R89" i="5" s="1"/>
  <c r="T89" i="5" s="1"/>
  <c r="P39" i="5"/>
  <c r="R39" i="5" s="1"/>
  <c r="T39" i="5" s="1"/>
  <c r="P98" i="5"/>
  <c r="R98" i="5" s="1"/>
  <c r="T98" i="5" s="1"/>
  <c r="P80" i="5"/>
  <c r="R80" i="5" s="1"/>
  <c r="T80" i="5" s="1"/>
  <c r="P68" i="5"/>
  <c r="R68" i="5" s="1"/>
  <c r="T68" i="5" s="1"/>
  <c r="P97" i="5"/>
  <c r="R97" i="5" s="1"/>
  <c r="T97" i="5" s="1"/>
  <c r="I33" i="8"/>
  <c r="I45" i="8"/>
  <c r="H69" i="8"/>
  <c r="L69" i="8"/>
  <c r="L58" i="8"/>
  <c r="F59" i="7"/>
  <c r="L42" i="7"/>
  <c r="I33" i="7"/>
  <c r="J54" i="7"/>
  <c r="P55" i="5"/>
  <c r="R55" i="5" s="1"/>
  <c r="T55" i="5" s="1"/>
  <c r="W14" i="16"/>
  <c r="P76" i="5"/>
  <c r="R76" i="5" s="1"/>
  <c r="T76" i="5" s="1"/>
  <c r="E13" i="8"/>
  <c r="H13" i="8"/>
  <c r="P107" i="5"/>
  <c r="R107" i="5" s="1"/>
  <c r="T107" i="5" s="1"/>
  <c r="P109" i="5"/>
  <c r="R109" i="5" s="1"/>
  <c r="T109" i="5" s="1"/>
  <c r="P37" i="5"/>
  <c r="R37" i="5" s="1"/>
  <c r="T37" i="5" s="1"/>
  <c r="P119" i="5"/>
  <c r="R119" i="5" s="1"/>
  <c r="T119" i="5" s="1"/>
  <c r="P54" i="5"/>
  <c r="R54" i="5" s="1"/>
  <c r="T54" i="5" s="1"/>
  <c r="P36" i="5"/>
  <c r="R36" i="5" s="1"/>
  <c r="T36" i="5" s="1"/>
  <c r="J69" i="8"/>
  <c r="F42" i="7"/>
  <c r="I59" i="7"/>
  <c r="P35" i="5"/>
  <c r="R35" i="5" s="1"/>
  <c r="T35" i="5" s="1"/>
  <c r="P86" i="5"/>
  <c r="R86" i="5" s="1"/>
  <c r="T86" i="5" s="1"/>
  <c r="P40" i="5"/>
  <c r="R40" i="5" s="1"/>
  <c r="T40" i="5" s="1"/>
  <c r="W3" i="5"/>
  <c r="F33" i="7"/>
  <c r="J33" i="7"/>
  <c r="P29" i="16"/>
  <c r="R29" i="16" s="1"/>
  <c r="T29" i="16" s="1"/>
  <c r="W20" i="16"/>
  <c r="W7" i="16"/>
  <c r="I46" i="8"/>
  <c r="P127" i="16"/>
  <c r="R127" i="16" s="1"/>
  <c r="T127" i="16" s="1"/>
  <c r="P96" i="5"/>
  <c r="R96" i="5" s="1"/>
  <c r="T96" i="5" s="1"/>
  <c r="C13" i="8"/>
  <c r="P100" i="5"/>
  <c r="R100" i="5" s="1"/>
  <c r="T100" i="5" s="1"/>
  <c r="P102" i="5"/>
  <c r="R102" i="5" s="1"/>
  <c r="T102" i="5" s="1"/>
  <c r="P85" i="5"/>
  <c r="R85" i="5" s="1"/>
  <c r="T85" i="5" s="1"/>
  <c r="P99" i="5"/>
  <c r="R99" i="5" s="1"/>
  <c r="T99" i="5" s="1"/>
  <c r="P84" i="5"/>
  <c r="R84" i="5" s="1"/>
  <c r="T84" i="5" s="1"/>
  <c r="P113" i="5"/>
  <c r="R113" i="5" s="1"/>
  <c r="T113" i="5" s="1"/>
  <c r="L54" i="7"/>
  <c r="P75" i="5"/>
  <c r="R75" i="5" s="1"/>
  <c r="T75" i="5" s="1"/>
  <c r="P43" i="5"/>
  <c r="R43" i="5" s="1"/>
  <c r="T43" i="5" s="1"/>
  <c r="P57" i="16"/>
  <c r="R57" i="16" s="1"/>
  <c r="T57" i="16" s="1"/>
  <c r="P37" i="16"/>
  <c r="R37" i="16" s="1"/>
  <c r="T37" i="16" s="1"/>
  <c r="W19" i="16"/>
  <c r="I44" i="8"/>
  <c r="I28" i="8"/>
  <c r="F34" i="8"/>
  <c r="G128" i="16"/>
  <c r="K128" i="16" s="1"/>
  <c r="P128" i="16"/>
  <c r="R128" i="16" s="1"/>
  <c r="T128" i="16" s="1"/>
  <c r="K126" i="16"/>
  <c r="P126" i="16"/>
  <c r="R126" i="16" s="1"/>
  <c r="T126" i="16" s="1"/>
  <c r="D15" i="16"/>
  <c r="C19" i="16" s="1"/>
  <c r="P125" i="16"/>
  <c r="R125" i="16" s="1"/>
  <c r="T125" i="16" s="1"/>
  <c r="P129" i="16"/>
  <c r="R129" i="16" s="1"/>
  <c r="T129" i="16" s="1"/>
  <c r="D15" i="5"/>
  <c r="C19" i="5" s="1"/>
  <c r="G126" i="5"/>
  <c r="P126" i="5"/>
  <c r="R126" i="5" s="1"/>
  <c r="T126" i="5" s="1"/>
  <c r="D16" i="5"/>
  <c r="D19" i="5" s="1"/>
  <c r="P127" i="5"/>
  <c r="R127" i="5" s="1"/>
  <c r="T127" i="5" s="1"/>
  <c r="G127" i="5"/>
  <c r="K127" i="5" s="1"/>
  <c r="P129" i="5"/>
  <c r="R129" i="5" s="1"/>
  <c r="T129" i="5" s="1"/>
  <c r="P125" i="5"/>
  <c r="R125" i="5" s="1"/>
  <c r="T125" i="5" s="1"/>
  <c r="P128" i="5"/>
  <c r="R128" i="5" s="1"/>
  <c r="T128" i="5" s="1"/>
  <c r="P123" i="13"/>
  <c r="G123" i="13"/>
  <c r="K123" i="13" s="1"/>
  <c r="P122" i="13"/>
  <c r="G122" i="13"/>
  <c r="K122" i="13" s="1"/>
  <c r="G121" i="13"/>
  <c r="K121" i="13" s="1"/>
  <c r="P121" i="13"/>
  <c r="G120" i="13"/>
  <c r="P120" i="13"/>
  <c r="D15" i="13"/>
  <c r="C19" i="13" s="1"/>
  <c r="G124" i="13"/>
  <c r="K124" i="13" s="1"/>
  <c r="K118" i="13"/>
  <c r="R117" i="13"/>
  <c r="T117" i="13" s="1"/>
  <c r="O49" i="12"/>
  <c r="O72" i="12"/>
  <c r="O36" i="12"/>
  <c r="O66" i="12"/>
  <c r="C15" i="12"/>
  <c r="C18" i="12" s="1"/>
  <c r="O73" i="12"/>
  <c r="O60" i="12"/>
  <c r="O63" i="12"/>
  <c r="O77" i="12"/>
  <c r="O41" i="12"/>
  <c r="O64" i="12"/>
  <c r="O47" i="12"/>
  <c r="O57" i="12"/>
  <c r="O75" i="12"/>
  <c r="O48" i="12"/>
  <c r="O62" i="12"/>
  <c r="O83" i="12"/>
  <c r="O85" i="12"/>
  <c r="O79" i="12"/>
  <c r="O50" i="12"/>
  <c r="O27" i="12"/>
  <c r="O53" i="12"/>
  <c r="O76" i="12"/>
  <c r="O40" i="12"/>
  <c r="O42" i="12"/>
  <c r="O71" i="12"/>
  <c r="O65" i="12"/>
  <c r="O37" i="12"/>
  <c r="O67" i="12"/>
  <c r="O81" i="12"/>
  <c r="O45" i="12"/>
  <c r="O56" i="12"/>
  <c r="O54" i="12"/>
  <c r="O78" i="12"/>
  <c r="O87" i="12"/>
  <c r="O51" i="12"/>
  <c r="O74" i="12"/>
  <c r="O38" i="12"/>
  <c r="O52" i="12"/>
  <c r="O61" i="12"/>
  <c r="O46" i="12"/>
  <c r="O59" i="12"/>
  <c r="O55" i="12"/>
  <c r="O35" i="12"/>
  <c r="O43" i="12"/>
  <c r="O69" i="12"/>
  <c r="O44" i="12"/>
  <c r="O82" i="12"/>
  <c r="O58" i="12"/>
  <c r="O68" i="12"/>
  <c r="O84" i="12"/>
  <c r="O39" i="12"/>
  <c r="O70" i="12"/>
  <c r="O26" i="12"/>
  <c r="O80" i="12"/>
  <c r="O86" i="12"/>
  <c r="C16" i="12"/>
  <c r="D18" i="12" s="1"/>
  <c r="C16" i="1"/>
  <c r="D18" i="1" s="1"/>
  <c r="O89" i="1"/>
  <c r="O74" i="1"/>
  <c r="O59" i="1"/>
  <c r="O76" i="1"/>
  <c r="O22" i="1"/>
  <c r="O40" i="1"/>
  <c r="O81" i="1"/>
  <c r="O85" i="1"/>
  <c r="O90" i="1"/>
  <c r="O34" i="1"/>
  <c r="O60" i="1"/>
  <c r="O37" i="1"/>
  <c r="O56" i="1"/>
  <c r="O32" i="1"/>
  <c r="O23" i="1"/>
  <c r="O51" i="1"/>
  <c r="O25" i="1"/>
  <c r="O30" i="1"/>
  <c r="O78" i="1"/>
  <c r="O52" i="1"/>
  <c r="O31" i="1"/>
  <c r="O44" i="1"/>
  <c r="O27" i="1"/>
  <c r="O75" i="1"/>
  <c r="O61" i="1"/>
  <c r="O88" i="1"/>
  <c r="O49" i="1"/>
  <c r="O87" i="1"/>
  <c r="O55" i="1"/>
  <c r="O41" i="1"/>
  <c r="O47" i="1"/>
  <c r="O82" i="1"/>
  <c r="O84" i="1"/>
  <c r="O45" i="1"/>
  <c r="O43" i="1"/>
  <c r="O36" i="1"/>
  <c r="O77" i="1"/>
  <c r="O57" i="1"/>
  <c r="O58" i="1"/>
  <c r="O38" i="1"/>
  <c r="O42" i="1"/>
  <c r="C15" i="1"/>
  <c r="O46" i="1"/>
  <c r="O83" i="1"/>
  <c r="O79" i="1"/>
  <c r="O26" i="1"/>
  <c r="O54" i="1"/>
  <c r="O50" i="1"/>
  <c r="O35" i="1"/>
  <c r="O39" i="1"/>
  <c r="O80" i="1"/>
  <c r="O53" i="1"/>
  <c r="O24" i="1"/>
  <c r="O48" i="1"/>
  <c r="O86" i="1"/>
  <c r="O33" i="1"/>
  <c r="O29" i="1"/>
  <c r="O21" i="1"/>
  <c r="O28" i="1"/>
  <c r="R84" i="13"/>
  <c r="T84" i="13" s="1"/>
  <c r="X84" i="13"/>
  <c r="E14" i="12"/>
  <c r="H62" i="7"/>
  <c r="J62" i="7"/>
  <c r="I62" i="7"/>
  <c r="F62" i="7"/>
  <c r="K62" i="7"/>
  <c r="L62" i="7"/>
  <c r="H31" i="7"/>
  <c r="J31" i="7"/>
  <c r="F31" i="7"/>
  <c r="I31" i="7"/>
  <c r="L31" i="7"/>
  <c r="K31" i="7"/>
  <c r="I77" i="8"/>
  <c r="J77" i="8"/>
  <c r="H77" i="8"/>
  <c r="L77" i="8"/>
  <c r="K77" i="8"/>
  <c r="F66" i="8"/>
  <c r="I66" i="8"/>
  <c r="H66" i="8"/>
  <c r="K66" i="8"/>
  <c r="L66" i="8"/>
  <c r="J66" i="8"/>
  <c r="X85" i="13"/>
  <c r="R85" i="13"/>
  <c r="T85" i="13" s="1"/>
  <c r="H66" i="7"/>
  <c r="I66" i="7"/>
  <c r="F66" i="7"/>
  <c r="H51" i="7"/>
  <c r="I51" i="7"/>
  <c r="L51" i="7"/>
  <c r="F51" i="7"/>
  <c r="H35" i="7"/>
  <c r="I35" i="7"/>
  <c r="F35" i="7"/>
  <c r="K35" i="7"/>
  <c r="J35" i="7"/>
  <c r="L35" i="7"/>
  <c r="P115" i="5"/>
  <c r="R115" i="5" s="1"/>
  <c r="T115" i="5" s="1"/>
  <c r="P121" i="5"/>
  <c r="R121" i="5" s="1"/>
  <c r="T121" i="5" s="1"/>
  <c r="W5" i="5"/>
  <c r="W13" i="5"/>
  <c r="P22" i="5"/>
  <c r="R22" i="5" s="1"/>
  <c r="T22" i="5" s="1"/>
  <c r="P26" i="5"/>
  <c r="R26" i="5" s="1"/>
  <c r="T26" i="5" s="1"/>
  <c r="P53" i="5"/>
  <c r="R53" i="5" s="1"/>
  <c r="T53" i="5" s="1"/>
  <c r="P77" i="5"/>
  <c r="R77" i="5" s="1"/>
  <c r="T77" i="5" s="1"/>
  <c r="P83" i="5"/>
  <c r="R83" i="5" s="1"/>
  <c r="T83" i="5" s="1"/>
  <c r="W6" i="5"/>
  <c r="W14" i="5"/>
  <c r="P30" i="5"/>
  <c r="R30" i="5" s="1"/>
  <c r="T30" i="5" s="1"/>
  <c r="P57" i="5"/>
  <c r="R57" i="5" s="1"/>
  <c r="T57" i="5" s="1"/>
  <c r="P81" i="5"/>
  <c r="R81" i="5" s="1"/>
  <c r="T81" i="5" s="1"/>
  <c r="P110" i="5"/>
  <c r="R110" i="5" s="1"/>
  <c r="T110" i="5" s="1"/>
  <c r="P73" i="5"/>
  <c r="R73" i="5" s="1"/>
  <c r="T73" i="5" s="1"/>
  <c r="W7" i="5"/>
  <c r="W15" i="5"/>
  <c r="P105" i="5"/>
  <c r="R105" i="5" s="1"/>
  <c r="T105" i="5" s="1"/>
  <c r="P111" i="5"/>
  <c r="R111" i="5" s="1"/>
  <c r="T111" i="5" s="1"/>
  <c r="P63" i="5"/>
  <c r="R63" i="5" s="1"/>
  <c r="T63" i="5" s="1"/>
  <c r="W8" i="5"/>
  <c r="W16" i="5"/>
  <c r="P33" i="5"/>
  <c r="R33" i="5" s="1"/>
  <c r="T33" i="5" s="1"/>
  <c r="P24" i="5"/>
  <c r="R24" i="5" s="1"/>
  <c r="T24" i="5" s="1"/>
  <c r="W2" i="5"/>
  <c r="P46" i="5"/>
  <c r="R46" i="5" s="1"/>
  <c r="T46" i="5" s="1"/>
  <c r="P61" i="5"/>
  <c r="R61" i="5" s="1"/>
  <c r="T61" i="5" s="1"/>
  <c r="P87" i="5"/>
  <c r="R87" i="5" s="1"/>
  <c r="T87" i="5" s="1"/>
  <c r="P123" i="5"/>
  <c r="R123" i="5" s="1"/>
  <c r="T123" i="5" s="1"/>
  <c r="W10" i="5"/>
  <c r="W18" i="5"/>
  <c r="P21" i="5"/>
  <c r="R21" i="5" s="1"/>
  <c r="T21" i="5" s="1"/>
  <c r="P31" i="5"/>
  <c r="R31" i="5" s="1"/>
  <c r="T31" i="5" s="1"/>
  <c r="P69" i="5"/>
  <c r="R69" i="5" s="1"/>
  <c r="T69" i="5" s="1"/>
  <c r="W11" i="5"/>
  <c r="W19" i="5"/>
  <c r="P28" i="5"/>
  <c r="R28" i="5" s="1"/>
  <c r="T28" i="5" s="1"/>
  <c r="P44" i="5"/>
  <c r="R44" i="5" s="1"/>
  <c r="T44" i="5" s="1"/>
  <c r="P71" i="5"/>
  <c r="R71" i="5" s="1"/>
  <c r="T71" i="5" s="1"/>
  <c r="I82" i="8"/>
  <c r="J82" i="8"/>
  <c r="H82" i="8"/>
  <c r="F82" i="8"/>
  <c r="H70" i="7"/>
  <c r="J70" i="7"/>
  <c r="F70" i="7"/>
  <c r="H39" i="7"/>
  <c r="K39" i="7"/>
  <c r="F25" i="7"/>
  <c r="I25" i="7"/>
  <c r="H25" i="7"/>
  <c r="J64" i="8"/>
  <c r="F64" i="8"/>
  <c r="H64" i="8"/>
  <c r="F52" i="8"/>
  <c r="J52" i="8"/>
  <c r="H52" i="8"/>
  <c r="H79" i="7"/>
  <c r="I79" i="7"/>
  <c r="L79" i="7"/>
  <c r="H44" i="7"/>
  <c r="J44" i="7"/>
  <c r="L44" i="7"/>
  <c r="K44" i="7"/>
  <c r="H51" i="8"/>
  <c r="I51" i="8"/>
  <c r="F51" i="8"/>
  <c r="F39" i="8"/>
  <c r="H39" i="8"/>
  <c r="J39" i="8"/>
  <c r="J33" i="8"/>
  <c r="H33" i="8"/>
  <c r="J83" i="7"/>
  <c r="F83" i="7"/>
  <c r="K83" i="7"/>
  <c r="F26" i="8"/>
  <c r="J26" i="8"/>
  <c r="I26" i="8"/>
  <c r="F48" i="8"/>
  <c r="I48" i="8"/>
  <c r="H57" i="7"/>
  <c r="I57" i="7"/>
  <c r="J57" i="7"/>
  <c r="F57" i="7"/>
  <c r="P22" i="1"/>
  <c r="R22" i="1" s="1"/>
  <c r="T22" i="1" s="1"/>
  <c r="P24" i="1"/>
  <c r="R24" i="1" s="1"/>
  <c r="T24" i="1" s="1"/>
  <c r="P26" i="1"/>
  <c r="R26" i="1" s="1"/>
  <c r="T26" i="1" s="1"/>
  <c r="W3" i="1"/>
  <c r="W11" i="1"/>
  <c r="P66" i="1"/>
  <c r="R66" i="1" s="1"/>
  <c r="T66" i="1" s="1"/>
  <c r="P74" i="1"/>
  <c r="R74" i="1" s="1"/>
  <c r="T74" i="1" s="1"/>
  <c r="P57" i="1"/>
  <c r="R57" i="1" s="1"/>
  <c r="T57" i="1" s="1"/>
  <c r="P59" i="1"/>
  <c r="R59" i="1" s="1"/>
  <c r="T59" i="1" s="1"/>
  <c r="P43" i="1"/>
  <c r="R43" i="1" s="1"/>
  <c r="T43" i="1" s="1"/>
  <c r="P50" i="1"/>
  <c r="R50" i="1" s="1"/>
  <c r="T50" i="1" s="1"/>
  <c r="P87" i="1"/>
  <c r="R87" i="1" s="1"/>
  <c r="T87" i="1" s="1"/>
  <c r="W4" i="1"/>
  <c r="W12" i="1"/>
  <c r="P64" i="1"/>
  <c r="R64" i="1" s="1"/>
  <c r="T64" i="1" s="1"/>
  <c r="P68" i="1"/>
  <c r="R68" i="1" s="1"/>
  <c r="T68" i="1" s="1"/>
  <c r="P29" i="1"/>
  <c r="R29" i="1" s="1"/>
  <c r="T29" i="1" s="1"/>
  <c r="P32" i="1"/>
  <c r="R32" i="1" s="1"/>
  <c r="T32" i="1" s="1"/>
  <c r="P38" i="1"/>
  <c r="R38" i="1" s="1"/>
  <c r="T38" i="1" s="1"/>
  <c r="P45" i="1"/>
  <c r="R45" i="1" s="1"/>
  <c r="T45" i="1" s="1"/>
  <c r="P52" i="1"/>
  <c r="R52" i="1" s="1"/>
  <c r="T52" i="1" s="1"/>
  <c r="P90" i="1"/>
  <c r="R90" i="1" s="1"/>
  <c r="T90" i="1" s="1"/>
  <c r="W6" i="1"/>
  <c r="P62" i="1"/>
  <c r="R62" i="1" s="1"/>
  <c r="T62" i="1" s="1"/>
  <c r="P21" i="1"/>
  <c r="R21" i="1" s="1"/>
  <c r="T21" i="1" s="1"/>
  <c r="P75" i="1"/>
  <c r="R75" i="1" s="1"/>
  <c r="T75" i="1" s="1"/>
  <c r="P30" i="1"/>
  <c r="R30" i="1" s="1"/>
  <c r="T30" i="1" s="1"/>
  <c r="P37" i="1"/>
  <c r="R37" i="1" s="1"/>
  <c r="T37" i="1" s="1"/>
  <c r="P81" i="1"/>
  <c r="R81" i="1" s="1"/>
  <c r="T81" i="1" s="1"/>
  <c r="P82" i="1"/>
  <c r="R82" i="1" s="1"/>
  <c r="T82" i="1" s="1"/>
  <c r="P88" i="1"/>
  <c r="R88" i="1" s="1"/>
  <c r="T88" i="1" s="1"/>
  <c r="W16" i="1"/>
  <c r="P28" i="1"/>
  <c r="R28" i="1" s="1"/>
  <c r="T28" i="1" s="1"/>
  <c r="W8" i="1"/>
  <c r="P72" i="1"/>
  <c r="R72" i="1" s="1"/>
  <c r="T72" i="1" s="1"/>
  <c r="P56" i="1"/>
  <c r="R56" i="1" s="1"/>
  <c r="T56" i="1" s="1"/>
  <c r="P58" i="1"/>
  <c r="R58" i="1" s="1"/>
  <c r="T58" i="1" s="1"/>
  <c r="P42" i="1"/>
  <c r="R42" i="1" s="1"/>
  <c r="T42" i="1" s="1"/>
  <c r="P49" i="1"/>
  <c r="R49" i="1" s="1"/>
  <c r="T49" i="1" s="1"/>
  <c r="P86" i="1"/>
  <c r="R86" i="1" s="1"/>
  <c r="T86" i="1" s="1"/>
  <c r="W14" i="1"/>
  <c r="W17" i="1"/>
  <c r="P79" i="1"/>
  <c r="R79" i="1" s="1"/>
  <c r="W9" i="1"/>
  <c r="P63" i="1"/>
  <c r="R63" i="1" s="1"/>
  <c r="T63" i="1" s="1"/>
  <c r="P67" i="1"/>
  <c r="R67" i="1" s="1"/>
  <c r="T67" i="1" s="1"/>
  <c r="P76" i="1"/>
  <c r="R76" i="1" s="1"/>
  <c r="T76" i="1" s="1"/>
  <c r="P31" i="1"/>
  <c r="R31" i="1" s="1"/>
  <c r="T31" i="1" s="1"/>
  <c r="P80" i="1"/>
  <c r="R80" i="1" s="1"/>
  <c r="T80" i="1" s="1"/>
  <c r="P44" i="1"/>
  <c r="R44" i="1" s="1"/>
  <c r="T44" i="1" s="1"/>
  <c r="P83" i="1"/>
  <c r="R83" i="1" s="1"/>
  <c r="T83" i="1" s="1"/>
  <c r="P89" i="1"/>
  <c r="R89" i="1" s="1"/>
  <c r="T89" i="1" s="1"/>
  <c r="W15" i="1"/>
  <c r="W18" i="1"/>
  <c r="I55" i="8"/>
  <c r="J55" i="8"/>
  <c r="F55" i="8"/>
  <c r="H55" i="8"/>
  <c r="I42" i="8"/>
  <c r="H42" i="8"/>
  <c r="F42" i="8"/>
  <c r="J24" i="8"/>
  <c r="F24" i="8"/>
  <c r="H24" i="8"/>
  <c r="K24" i="7"/>
  <c r="J50" i="7"/>
  <c r="J24" i="7"/>
  <c r="I76" i="8"/>
  <c r="I63" i="8"/>
  <c r="I50" i="8"/>
  <c r="P123" i="16"/>
  <c r="R123" i="16" s="1"/>
  <c r="T123" i="16" s="1"/>
  <c r="F50" i="7"/>
  <c r="W16" i="16"/>
  <c r="J76" i="8"/>
  <c r="J30" i="8"/>
  <c r="H34" i="8"/>
  <c r="I36" i="8"/>
  <c r="P121" i="16"/>
  <c r="R121" i="16" s="1"/>
  <c r="T121" i="16" s="1"/>
  <c r="H24" i="7"/>
  <c r="J83" i="8"/>
  <c r="J36" i="8"/>
  <c r="H72" i="8"/>
  <c r="H43" i="8"/>
  <c r="I34" i="8"/>
  <c r="F72" i="8"/>
  <c r="F63" i="8"/>
  <c r="F54" i="8"/>
  <c r="F50" i="8"/>
  <c r="I21" i="2"/>
  <c r="P87" i="13"/>
  <c r="P114" i="16"/>
  <c r="R114" i="16" s="1"/>
  <c r="T114" i="16" s="1"/>
  <c r="F21" i="2"/>
  <c r="P115" i="16"/>
  <c r="R115" i="16" s="1"/>
  <c r="T115" i="16" s="1"/>
  <c r="I24" i="7"/>
  <c r="J54" i="8"/>
  <c r="P111" i="16"/>
  <c r="R111" i="16" s="1"/>
  <c r="T111" i="16" s="1"/>
  <c r="L24" i="7"/>
  <c r="W18" i="16"/>
  <c r="W8" i="16"/>
  <c r="D18" i="7"/>
  <c r="E18" i="2"/>
  <c r="D18" i="8"/>
  <c r="C18" i="2"/>
  <c r="L18" i="2"/>
  <c r="C11" i="5"/>
  <c r="G18" i="8"/>
  <c r="H18" i="7"/>
  <c r="H18" i="8"/>
  <c r="I18" i="2"/>
  <c r="H18" i="2"/>
  <c r="C11" i="16"/>
  <c r="C12" i="5"/>
  <c r="L18" i="8"/>
  <c r="F18" i="7"/>
  <c r="I18" i="8"/>
  <c r="C12" i="13"/>
  <c r="E18" i="7"/>
  <c r="G18" i="2"/>
  <c r="K18" i="7"/>
  <c r="I18" i="7"/>
  <c r="F18" i="8"/>
  <c r="K18" i="8"/>
  <c r="G18" i="7"/>
  <c r="C12" i="16"/>
  <c r="F18" i="2"/>
  <c r="C11" i="13"/>
  <c r="K18" i="2"/>
  <c r="J18" i="8"/>
  <c r="C18" i="8"/>
  <c r="L18" i="7"/>
  <c r="E18" i="8"/>
  <c r="J18" i="7"/>
  <c r="J18" i="2"/>
  <c r="D18" i="2"/>
  <c r="O133" i="5" l="1"/>
  <c r="O130" i="5"/>
  <c r="O131" i="5"/>
  <c r="O132" i="5"/>
  <c r="R132" i="5"/>
  <c r="T132" i="5" s="1"/>
  <c r="R133" i="5"/>
  <c r="T133" i="5" s="1"/>
  <c r="O127" i="13"/>
  <c r="O125" i="13"/>
  <c r="O126" i="13"/>
  <c r="O128" i="13"/>
  <c r="O132" i="16"/>
  <c r="O133" i="16"/>
  <c r="O131" i="16"/>
  <c r="O130" i="16"/>
  <c r="R133" i="16"/>
  <c r="T133" i="16" s="1"/>
  <c r="R124" i="16"/>
  <c r="T124" i="16" s="1"/>
  <c r="O4" i="2"/>
  <c r="O127" i="16"/>
  <c r="O128" i="16"/>
  <c r="O125" i="16"/>
  <c r="O129" i="16"/>
  <c r="O126" i="16"/>
  <c r="O66" i="16"/>
  <c r="O86" i="16"/>
  <c r="O43" i="16"/>
  <c r="O83" i="16"/>
  <c r="O82" i="16"/>
  <c r="C15" i="16"/>
  <c r="C18" i="16" s="1"/>
  <c r="O26" i="16"/>
  <c r="O79" i="16"/>
  <c r="O75" i="16"/>
  <c r="O53" i="16"/>
  <c r="O38" i="16"/>
  <c r="O52" i="16"/>
  <c r="O120" i="16"/>
  <c r="O37" i="16"/>
  <c r="O102" i="16"/>
  <c r="O92" i="16"/>
  <c r="O89" i="16"/>
  <c r="O60" i="16"/>
  <c r="O112" i="16"/>
  <c r="O116" i="16"/>
  <c r="O118" i="16"/>
  <c r="O111" i="16"/>
  <c r="O73" i="16"/>
  <c r="O55" i="16"/>
  <c r="O123" i="16"/>
  <c r="O90" i="16"/>
  <c r="O113" i="16"/>
  <c r="O121" i="16"/>
  <c r="O61" i="16"/>
  <c r="O87" i="16"/>
  <c r="O98" i="16"/>
  <c r="O40" i="16"/>
  <c r="O85" i="16"/>
  <c r="O107" i="16"/>
  <c r="O95" i="16"/>
  <c r="O106" i="16"/>
  <c r="O119" i="16"/>
  <c r="O110" i="16"/>
  <c r="O49" i="16"/>
  <c r="O122" i="16"/>
  <c r="O115" i="16"/>
  <c r="O88" i="16"/>
  <c r="O62" i="16"/>
  <c r="O124" i="16"/>
  <c r="O96" i="16"/>
  <c r="O69" i="16"/>
  <c r="O74" i="16"/>
  <c r="O108" i="16"/>
  <c r="O76" i="16"/>
  <c r="O71" i="16"/>
  <c r="O109" i="16"/>
  <c r="O80" i="16"/>
  <c r="O46" i="16"/>
  <c r="O104" i="16"/>
  <c r="O72" i="16"/>
  <c r="O56" i="16"/>
  <c r="O94" i="16"/>
  <c r="O101" i="16"/>
  <c r="O48" i="16"/>
  <c r="O78" i="16"/>
  <c r="O57" i="16"/>
  <c r="O105" i="16"/>
  <c r="O65" i="16"/>
  <c r="O51" i="16"/>
  <c r="O77" i="16"/>
  <c r="O58" i="16"/>
  <c r="O84" i="16"/>
  <c r="O99" i="16"/>
  <c r="O68" i="16"/>
  <c r="O42" i="16"/>
  <c r="O70" i="16"/>
  <c r="O35" i="16"/>
  <c r="O44" i="16"/>
  <c r="O67" i="16"/>
  <c r="O117" i="16"/>
  <c r="O54" i="16"/>
  <c r="O91" i="16"/>
  <c r="O114" i="16"/>
  <c r="O93" i="16"/>
  <c r="O81" i="16"/>
  <c r="O50" i="16"/>
  <c r="O34" i="16"/>
  <c r="O63" i="16"/>
  <c r="O41" i="16"/>
  <c r="O36" i="16"/>
  <c r="O97" i="16"/>
  <c r="O59" i="16"/>
  <c r="O39" i="16"/>
  <c r="O100" i="16"/>
  <c r="O103" i="16"/>
  <c r="O64" i="16"/>
  <c r="C16" i="16"/>
  <c r="D18" i="16" s="1"/>
  <c r="E14" i="16"/>
  <c r="K125" i="16"/>
  <c r="C16" i="5"/>
  <c r="D18" i="5" s="1"/>
  <c r="O127" i="5"/>
  <c r="O128" i="5"/>
  <c r="O125" i="5"/>
  <c r="O129" i="5"/>
  <c r="O126" i="5"/>
  <c r="O89" i="5"/>
  <c r="O35" i="5"/>
  <c r="O118" i="5"/>
  <c r="O75" i="5"/>
  <c r="O123" i="5"/>
  <c r="O52" i="5"/>
  <c r="O55" i="5"/>
  <c r="O44" i="5"/>
  <c r="C15" i="5"/>
  <c r="C18" i="5" s="1"/>
  <c r="O37" i="5"/>
  <c r="O60" i="5"/>
  <c r="O63" i="5"/>
  <c r="O46" i="5"/>
  <c r="O108" i="5"/>
  <c r="O43" i="5"/>
  <c r="O53" i="5"/>
  <c r="O34" i="5"/>
  <c r="O85" i="5"/>
  <c r="O66" i="5"/>
  <c r="O47" i="5"/>
  <c r="O84" i="5"/>
  <c r="O124" i="5"/>
  <c r="O81" i="5"/>
  <c r="O106" i="5"/>
  <c r="O26" i="5"/>
  <c r="O71" i="5"/>
  <c r="O122" i="5"/>
  <c r="O80" i="5"/>
  <c r="O116" i="5"/>
  <c r="O45" i="5"/>
  <c r="O58" i="5"/>
  <c r="O57" i="5"/>
  <c r="O94" i="5"/>
  <c r="O54" i="5"/>
  <c r="O99" i="5"/>
  <c r="O100" i="5"/>
  <c r="O82" i="5"/>
  <c r="O98" i="5"/>
  <c r="O104" i="5"/>
  <c r="O114" i="5"/>
  <c r="O103" i="5"/>
  <c r="O48" i="5"/>
  <c r="O119" i="5"/>
  <c r="O120" i="5"/>
  <c r="O62" i="5"/>
  <c r="O97" i="5"/>
  <c r="O73" i="5"/>
  <c r="O109" i="5"/>
  <c r="O87" i="5"/>
  <c r="O67" i="5"/>
  <c r="O117" i="5"/>
  <c r="O113" i="5"/>
  <c r="O40" i="5"/>
  <c r="O79" i="5"/>
  <c r="O69" i="5"/>
  <c r="O42" i="5"/>
  <c r="O49" i="5"/>
  <c r="O93" i="5"/>
  <c r="O72" i="5"/>
  <c r="O38" i="5"/>
  <c r="O111" i="5"/>
  <c r="O110" i="5"/>
  <c r="O61" i="5"/>
  <c r="O65" i="5"/>
  <c r="O77" i="5"/>
  <c r="O41" i="5"/>
  <c r="O68" i="5"/>
  <c r="O51" i="5"/>
  <c r="O107" i="5"/>
  <c r="O105" i="5"/>
  <c r="O56" i="5"/>
  <c r="O121" i="5"/>
  <c r="O83" i="5"/>
  <c r="O70" i="5"/>
  <c r="O91" i="5"/>
  <c r="O96" i="5"/>
  <c r="O86" i="5"/>
  <c r="O39" i="5"/>
  <c r="O115" i="5"/>
  <c r="O76" i="5"/>
  <c r="O74" i="5"/>
  <c r="O112" i="5"/>
  <c r="O101" i="5"/>
  <c r="O36" i="5"/>
  <c r="O78" i="5"/>
  <c r="O59" i="5"/>
  <c r="O102" i="5"/>
  <c r="O64" i="5"/>
  <c r="O88" i="5"/>
  <c r="O95" i="5"/>
  <c r="O50" i="5"/>
  <c r="O90" i="5"/>
  <c r="O92" i="5"/>
  <c r="K126" i="5"/>
  <c r="O124" i="13"/>
  <c r="O123" i="13"/>
  <c r="O120" i="13"/>
  <c r="O121" i="13"/>
  <c r="O122" i="13"/>
  <c r="O89" i="13"/>
  <c r="O86" i="13"/>
  <c r="O38" i="13"/>
  <c r="O108" i="13"/>
  <c r="O49" i="13"/>
  <c r="O76" i="13"/>
  <c r="O60" i="13"/>
  <c r="O67" i="13"/>
  <c r="O80" i="13"/>
  <c r="O92" i="13"/>
  <c r="O98" i="13"/>
  <c r="O62" i="13"/>
  <c r="O115" i="13"/>
  <c r="O66" i="13"/>
  <c r="O35" i="13"/>
  <c r="O109" i="13"/>
  <c r="C15" i="13"/>
  <c r="C18" i="13" s="1"/>
  <c r="O63" i="13"/>
  <c r="O72" i="13"/>
  <c r="O88" i="13"/>
  <c r="O87" i="13"/>
  <c r="O91" i="13"/>
  <c r="O50" i="13"/>
  <c r="O78" i="13"/>
  <c r="O73" i="13"/>
  <c r="O77" i="13"/>
  <c r="O41" i="13"/>
  <c r="O61" i="13"/>
  <c r="O59" i="13"/>
  <c r="O117" i="13"/>
  <c r="O26" i="13"/>
  <c r="O95" i="13"/>
  <c r="O94" i="13"/>
  <c r="O103" i="13"/>
  <c r="O55" i="13"/>
  <c r="O39" i="13"/>
  <c r="O36" i="13"/>
  <c r="O112" i="13"/>
  <c r="O116" i="13"/>
  <c r="O79" i="13"/>
  <c r="O111" i="13"/>
  <c r="O71" i="13"/>
  <c r="O37" i="13"/>
  <c r="O110" i="13"/>
  <c r="O96" i="13"/>
  <c r="O100" i="13"/>
  <c r="O70" i="13"/>
  <c r="O57" i="13"/>
  <c r="O53" i="13"/>
  <c r="O40" i="13"/>
  <c r="O74" i="13"/>
  <c r="O90" i="13"/>
  <c r="O107" i="13"/>
  <c r="O114" i="13"/>
  <c r="O34" i="13"/>
  <c r="O93" i="13"/>
  <c r="O97" i="13"/>
  <c r="O45" i="13"/>
  <c r="O42" i="13"/>
  <c r="O113" i="13"/>
  <c r="O85" i="13"/>
  <c r="O104" i="13"/>
  <c r="O83" i="13"/>
  <c r="O56" i="13"/>
  <c r="O81" i="13"/>
  <c r="O43" i="13"/>
  <c r="O48" i="13"/>
  <c r="O44" i="13"/>
  <c r="O99" i="13"/>
  <c r="O47" i="13"/>
  <c r="O118" i="13"/>
  <c r="O46" i="13"/>
  <c r="O82" i="13"/>
  <c r="O106" i="13"/>
  <c r="O54" i="13"/>
  <c r="O101" i="13"/>
  <c r="O105" i="13"/>
  <c r="O68" i="13"/>
  <c r="O84" i="13"/>
  <c r="O65" i="13"/>
  <c r="O102" i="13"/>
  <c r="O69" i="13"/>
  <c r="O58" i="13"/>
  <c r="O119" i="13"/>
  <c r="O52" i="13"/>
  <c r="O51" i="13"/>
  <c r="O64" i="13"/>
  <c r="O75" i="13"/>
  <c r="C16" i="13"/>
  <c r="D18" i="13" s="1"/>
  <c r="K120" i="13"/>
  <c r="R121" i="13"/>
  <c r="T121" i="13" s="1"/>
  <c r="R122" i="13"/>
  <c r="T122" i="13" s="1"/>
  <c r="R120" i="13"/>
  <c r="T120" i="13" s="1"/>
  <c r="R123" i="13"/>
  <c r="T123" i="13" s="1"/>
  <c r="O1" i="8"/>
  <c r="O6" i="8"/>
  <c r="O5" i="2"/>
  <c r="O1" i="2"/>
  <c r="O5" i="7"/>
  <c r="O4" i="8"/>
  <c r="O5" i="8"/>
  <c r="O1" i="7"/>
  <c r="O6" i="7"/>
  <c r="O2" i="8"/>
  <c r="O3" i="8"/>
  <c r="O2" i="7"/>
  <c r="O3" i="7"/>
  <c r="O2" i="2"/>
  <c r="O3" i="2"/>
  <c r="O6" i="2"/>
  <c r="O4" i="7"/>
  <c r="F18" i="1"/>
  <c r="F19" i="1" s="1"/>
  <c r="C18" i="1"/>
  <c r="E14" i="1"/>
  <c r="E14" i="5"/>
  <c r="R87" i="13"/>
  <c r="T87" i="13" s="1"/>
  <c r="X87" i="13"/>
  <c r="E14" i="13" l="1"/>
  <c r="F18" i="5"/>
  <c r="F19" i="5" s="1"/>
  <c r="F18" i="13"/>
  <c r="F19" i="13" s="1"/>
  <c r="O107" i="7"/>
  <c r="O142" i="7"/>
  <c r="O95" i="7"/>
  <c r="O193" i="7"/>
  <c r="O30" i="7"/>
  <c r="O40" i="7"/>
  <c r="O266" i="7"/>
  <c r="O32" i="7"/>
  <c r="O183" i="7"/>
  <c r="O112" i="7"/>
  <c r="O144" i="7"/>
  <c r="O265" i="7"/>
  <c r="O302" i="7"/>
  <c r="O64" i="7"/>
  <c r="O105" i="7"/>
  <c r="O123" i="7"/>
  <c r="O208" i="7"/>
  <c r="O172" i="7"/>
  <c r="O287" i="7"/>
  <c r="O33" i="7"/>
  <c r="O154" i="7"/>
  <c r="O181" i="7"/>
  <c r="O271" i="7"/>
  <c r="O334" i="7"/>
  <c r="O197" i="7"/>
  <c r="O303" i="7"/>
  <c r="O182" i="7"/>
  <c r="O273" i="7"/>
  <c r="O191" i="7"/>
  <c r="O229" i="7"/>
  <c r="O192" i="7"/>
  <c r="O108" i="7"/>
  <c r="O274" i="7"/>
  <c r="O251" i="7"/>
  <c r="O80" i="7"/>
  <c r="O171" i="7"/>
  <c r="O91" i="7"/>
  <c r="O179" i="7"/>
  <c r="O109" i="7"/>
  <c r="O195" i="7"/>
  <c r="O54" i="7"/>
  <c r="O81" i="7"/>
  <c r="O88" i="7"/>
  <c r="O25" i="7"/>
  <c r="O103" i="7"/>
  <c r="O45" i="7"/>
  <c r="O225" i="7"/>
  <c r="O151" i="7"/>
  <c r="O166" i="7"/>
  <c r="O101" i="7"/>
  <c r="O48" i="7"/>
  <c r="O275" i="7"/>
  <c r="O331" i="7"/>
  <c r="O118" i="7"/>
  <c r="O223" i="7"/>
  <c r="O78" i="7"/>
  <c r="O56" i="7"/>
  <c r="O51" i="7"/>
  <c r="O111" i="7"/>
  <c r="O82" i="7"/>
  <c r="O42" i="7"/>
  <c r="O126" i="7"/>
  <c r="O41" i="7"/>
  <c r="O169" i="7"/>
  <c r="O24" i="7"/>
  <c r="O282" i="7"/>
  <c r="O143" i="7"/>
  <c r="O221" i="7"/>
  <c r="O267" i="7"/>
  <c r="O218" i="7"/>
  <c r="O206" i="7"/>
  <c r="O57" i="7"/>
  <c r="O59" i="7"/>
  <c r="O131" i="7"/>
  <c r="O170" i="7"/>
  <c r="O62" i="7"/>
  <c r="O44" i="7"/>
  <c r="O94" i="7"/>
  <c r="O36" i="7"/>
  <c r="O121" i="7"/>
  <c r="O26" i="7"/>
  <c r="O201" i="7"/>
  <c r="O71" i="7"/>
  <c r="O304" i="7"/>
  <c r="O326" i="7"/>
  <c r="O145" i="7"/>
  <c r="O165" i="7"/>
  <c r="O226" i="7"/>
  <c r="O214" i="7"/>
  <c r="O257" i="7"/>
  <c r="O298" i="7"/>
  <c r="O47" i="7"/>
  <c r="O239" i="7"/>
  <c r="O248" i="7"/>
  <c r="O341" i="7"/>
  <c r="O209" i="7"/>
  <c r="O296" i="7"/>
  <c r="O178" i="7"/>
  <c r="O297" i="7"/>
  <c r="O69" i="7"/>
  <c r="O281" i="7"/>
  <c r="O84" i="7"/>
  <c r="O315" i="7"/>
  <c r="O324" i="7"/>
  <c r="O203" i="7"/>
  <c r="O332" i="7"/>
  <c r="O149" i="7"/>
  <c r="O319" i="7"/>
  <c r="O156" i="7"/>
  <c r="O322" i="7"/>
  <c r="O164" i="7"/>
  <c r="O340" i="7"/>
  <c r="O52" i="7"/>
  <c r="O86" i="7"/>
  <c r="O90" i="7"/>
  <c r="O202" i="7"/>
  <c r="O132" i="7"/>
  <c r="O37" i="7"/>
  <c r="O237" i="7"/>
  <c r="O200" i="7"/>
  <c r="O148" i="7"/>
  <c r="O211" i="7"/>
  <c r="O333" i="7"/>
  <c r="O133" i="7"/>
  <c r="O137" i="7"/>
  <c r="O264" i="7"/>
  <c r="O141" i="7"/>
  <c r="O252" i="7"/>
  <c r="O278" i="7"/>
  <c r="O194" i="7"/>
  <c r="O285" i="7"/>
  <c r="O140" i="7"/>
  <c r="O63" i="7"/>
  <c r="O233" i="7"/>
  <c r="O255" i="7"/>
  <c r="O314" i="7"/>
  <c r="O277" i="7"/>
  <c r="O100" i="7"/>
  <c r="O316" i="7"/>
  <c r="O53" i="7"/>
  <c r="O98" i="7"/>
  <c r="O104" i="7"/>
  <c r="O161" i="7"/>
  <c r="O247" i="7"/>
  <c r="O207" i="7"/>
  <c r="O309" i="7"/>
  <c r="O159" i="7"/>
  <c r="O23" i="7"/>
  <c r="O291" i="7"/>
  <c r="O300" i="7"/>
  <c r="O242" i="7"/>
  <c r="O180" i="7"/>
  <c r="O279" i="7"/>
  <c r="O174" i="7"/>
  <c r="O235" i="7"/>
  <c r="O272" i="7"/>
  <c r="O168" i="7"/>
  <c r="O230" i="7"/>
  <c r="O83" i="7"/>
  <c r="O110" i="7"/>
  <c r="O245" i="7"/>
  <c r="O134" i="7"/>
  <c r="O29" i="7"/>
  <c r="O280" i="7"/>
  <c r="O189" i="7"/>
  <c r="O77" i="7"/>
  <c r="O60" i="7"/>
  <c r="O49" i="7"/>
  <c r="O184" i="7"/>
  <c r="O65" i="7"/>
  <c r="O190" i="7"/>
  <c r="O327" i="7"/>
  <c r="O106" i="7"/>
  <c r="O113" i="7"/>
  <c r="O244" i="7"/>
  <c r="O330" i="7"/>
  <c r="O117" i="7"/>
  <c r="O219" i="7"/>
  <c r="O306" i="7"/>
  <c r="O188" i="7"/>
  <c r="O22" i="7"/>
  <c r="O234" i="7"/>
  <c r="O96" i="7"/>
  <c r="O27" i="7"/>
  <c r="O72" i="7"/>
  <c r="O152" i="7"/>
  <c r="O58" i="7"/>
  <c r="O120" i="7"/>
  <c r="O167" i="7"/>
  <c r="O290" i="7"/>
  <c r="O337" i="7"/>
  <c r="O216" i="7"/>
  <c r="O299" i="7"/>
  <c r="O308" i="7"/>
  <c r="O269" i="7"/>
  <c r="O31" i="7"/>
  <c r="O222" i="7"/>
  <c r="O114" i="7"/>
  <c r="O321" i="7"/>
  <c r="O313" i="7"/>
  <c r="O215" i="7"/>
  <c r="O318" i="7"/>
  <c r="O227" i="7"/>
  <c r="O99" i="7"/>
  <c r="O325" i="7"/>
  <c r="O259" i="7"/>
  <c r="O210" i="7"/>
  <c r="O135" i="7"/>
  <c r="O67" i="7"/>
  <c r="O70" i="7"/>
  <c r="O102" i="7"/>
  <c r="O213" i="7"/>
  <c r="O68" i="7"/>
  <c r="O76" i="7"/>
  <c r="O153" i="7"/>
  <c r="O328" i="7"/>
  <c r="O147" i="7"/>
  <c r="O175" i="7"/>
  <c r="O289" i="7"/>
  <c r="O73" i="7"/>
  <c r="O228" i="7"/>
  <c r="O150" i="7"/>
  <c r="O338" i="7"/>
  <c r="O307" i="7"/>
  <c r="O258" i="7"/>
  <c r="O293" i="7"/>
  <c r="O146" i="7"/>
  <c r="O75" i="7"/>
  <c r="O249" i="7"/>
  <c r="O157" i="7"/>
  <c r="O87" i="7"/>
  <c r="O283" i="7"/>
  <c r="O85" i="7"/>
  <c r="O250" i="7"/>
  <c r="O115" i="7"/>
  <c r="O124" i="7"/>
  <c r="O158" i="7"/>
  <c r="O261" i="7"/>
  <c r="O329" i="7"/>
  <c r="O79" i="7"/>
  <c r="O128" i="7"/>
  <c r="O253" i="7"/>
  <c r="O238" i="7"/>
  <c r="O125" i="7"/>
  <c r="O224" i="7"/>
  <c r="O127" i="7"/>
  <c r="O268" i="7"/>
  <c r="O61" i="7"/>
  <c r="O116" i="7"/>
  <c r="O310" i="7"/>
  <c r="O199" i="7"/>
  <c r="O323" i="7"/>
  <c r="O270" i="7"/>
  <c r="O185" i="7"/>
  <c r="O92" i="7"/>
  <c r="O93" i="7"/>
  <c r="O217" i="7"/>
  <c r="O260" i="7"/>
  <c r="O155" i="7"/>
  <c r="O254" i="7"/>
  <c r="O38" i="7"/>
  <c r="O122" i="7"/>
  <c r="O163" i="7"/>
  <c r="O317" i="7"/>
  <c r="O138" i="7"/>
  <c r="O50" i="7"/>
  <c r="O46" i="7"/>
  <c r="O212" i="7"/>
  <c r="O130" i="7"/>
  <c r="O43" i="7"/>
  <c r="O339" i="7"/>
  <c r="O205" i="7"/>
  <c r="O305" i="7"/>
  <c r="O292" i="7"/>
  <c r="O119" i="7"/>
  <c r="O241" i="7"/>
  <c r="O294" i="7"/>
  <c r="O97" i="7"/>
  <c r="O136" i="7"/>
  <c r="O187" i="7"/>
  <c r="O231" i="7"/>
  <c r="O21" i="7"/>
  <c r="O89" i="7"/>
  <c r="O196" i="7"/>
  <c r="O320" i="7"/>
  <c r="O256" i="7"/>
  <c r="O240" i="7"/>
  <c r="O236" i="7"/>
  <c r="O335" i="7"/>
  <c r="O55" i="7"/>
  <c r="O28" i="7"/>
  <c r="O198" i="7"/>
  <c r="O220" i="7"/>
  <c r="O186" i="7"/>
  <c r="O129" i="7"/>
  <c r="O204" i="7"/>
  <c r="O177" i="7"/>
  <c r="O176" i="7"/>
  <c r="O336" i="7"/>
  <c r="O342" i="7"/>
  <c r="O263" i="7"/>
  <c r="O262" i="7"/>
  <c r="O295" i="7"/>
  <c r="O284" i="7"/>
  <c r="O286" i="7"/>
  <c r="O66" i="7"/>
  <c r="O162" i="7"/>
  <c r="O243" i="7"/>
  <c r="O246" i="7"/>
  <c r="O139" i="7"/>
  <c r="O232" i="7"/>
  <c r="O39" i="7"/>
  <c r="O301" i="7"/>
  <c r="O35" i="7"/>
  <c r="O311" i="7"/>
  <c r="O34" i="7"/>
  <c r="O160" i="7"/>
  <c r="O74" i="7"/>
  <c r="O173" i="7"/>
  <c r="O276" i="7"/>
  <c r="O312" i="7"/>
  <c r="O288" i="7"/>
  <c r="O7" i="7"/>
  <c r="E4" i="7" s="1"/>
  <c r="Q49" i="2"/>
  <c r="Q88" i="2"/>
  <c r="Q73" i="2"/>
  <c r="Q35" i="2"/>
  <c r="Q76" i="2"/>
  <c r="Q40" i="2"/>
  <c r="Q43" i="2"/>
  <c r="Q55" i="2"/>
  <c r="Q84" i="2"/>
  <c r="Q52" i="2"/>
  <c r="Q75" i="2"/>
  <c r="Q53" i="2"/>
  <c r="Q78" i="2"/>
  <c r="Q48" i="2"/>
  <c r="Q86" i="2"/>
  <c r="Q34" i="2"/>
  <c r="Q72" i="2"/>
  <c r="Q63" i="2"/>
  <c r="Q81" i="2"/>
  <c r="Q62" i="2"/>
  <c r="Q90" i="2"/>
  <c r="Q42" i="2"/>
  <c r="Q37" i="2"/>
  <c r="Q29" i="2"/>
  <c r="Q26" i="2"/>
  <c r="Q21" i="2"/>
  <c r="Q25" i="2"/>
  <c r="Q22" i="2"/>
  <c r="Q41" i="2"/>
  <c r="Q46" i="2"/>
  <c r="Q27" i="2"/>
  <c r="Q45" i="2"/>
  <c r="Q47" i="2"/>
  <c r="Q44" i="2"/>
  <c r="Q65" i="2"/>
  <c r="Q23" i="2"/>
  <c r="Q71" i="2"/>
  <c r="Q91" i="2"/>
  <c r="Q38" i="2"/>
  <c r="Q64" i="2"/>
  <c r="Q61" i="2"/>
  <c r="Q58" i="2"/>
  <c r="Q57" i="2"/>
  <c r="Q83" i="2"/>
  <c r="Q24" i="2"/>
  <c r="Q33" i="2"/>
  <c r="Q32" i="2"/>
  <c r="Q50" i="2"/>
  <c r="Q67" i="2"/>
  <c r="Q74" i="2"/>
  <c r="Q30" i="2"/>
  <c r="Q39" i="2"/>
  <c r="Q54" i="2"/>
  <c r="Q77" i="2"/>
  <c r="Q66" i="2"/>
  <c r="Q51" i="2"/>
  <c r="Q28" i="2"/>
  <c r="Q56" i="2"/>
  <c r="Q79" i="2"/>
  <c r="Q60" i="2"/>
  <c r="Q89" i="2"/>
  <c r="Q59" i="2"/>
  <c r="Q80" i="2"/>
  <c r="Q31" i="2"/>
  <c r="Q36" i="2"/>
  <c r="Q85" i="2"/>
  <c r="Q68" i="2"/>
  <c r="Q87" i="2"/>
  <c r="Q69" i="2"/>
  <c r="Q70" i="2"/>
  <c r="Q82" i="2"/>
  <c r="P78" i="2"/>
  <c r="P69" i="2"/>
  <c r="P65" i="2"/>
  <c r="P32" i="2"/>
  <c r="P90" i="2"/>
  <c r="P23" i="2"/>
  <c r="P47" i="2"/>
  <c r="P41" i="2"/>
  <c r="P48" i="2"/>
  <c r="P74" i="2"/>
  <c r="P40" i="2"/>
  <c r="P64" i="2"/>
  <c r="P56" i="2"/>
  <c r="P49" i="2"/>
  <c r="P24" i="2"/>
  <c r="P46" i="2"/>
  <c r="P27" i="2"/>
  <c r="P25" i="2"/>
  <c r="P26" i="2"/>
  <c r="P50" i="2"/>
  <c r="P29" i="2"/>
  <c r="P22" i="2"/>
  <c r="P59" i="2"/>
  <c r="P54" i="2"/>
  <c r="P58" i="2"/>
  <c r="P89" i="2"/>
  <c r="P91" i="2"/>
  <c r="P37" i="2"/>
  <c r="P67" i="2"/>
  <c r="P34" i="2"/>
  <c r="P53" i="2"/>
  <c r="P71" i="2"/>
  <c r="P60" i="2"/>
  <c r="P83" i="2"/>
  <c r="P76" i="2"/>
  <c r="P30" i="2"/>
  <c r="P36" i="2"/>
  <c r="P21" i="2"/>
  <c r="P87" i="2"/>
  <c r="P81" i="2"/>
  <c r="P38" i="2"/>
  <c r="P63" i="2"/>
  <c r="P55" i="2"/>
  <c r="P73" i="2"/>
  <c r="P43" i="2"/>
  <c r="P57" i="2"/>
  <c r="P44" i="2"/>
  <c r="P80" i="2"/>
  <c r="P88" i="2"/>
  <c r="P52" i="2"/>
  <c r="P86" i="2"/>
  <c r="P66" i="2"/>
  <c r="P62" i="2"/>
  <c r="P31" i="2"/>
  <c r="P77" i="2"/>
  <c r="P51" i="2"/>
  <c r="P33" i="2"/>
  <c r="P42" i="2"/>
  <c r="P75" i="2"/>
  <c r="P84" i="2"/>
  <c r="P72" i="2"/>
  <c r="P35" i="2"/>
  <c r="P45" i="2"/>
  <c r="P79" i="2"/>
  <c r="P70" i="2"/>
  <c r="P39" i="2"/>
  <c r="P82" i="2"/>
  <c r="P28" i="2"/>
  <c r="P85" i="2"/>
  <c r="P68" i="2"/>
  <c r="P61" i="2"/>
  <c r="P132" i="7"/>
  <c r="P252" i="7"/>
  <c r="P153" i="7"/>
  <c r="P57" i="7"/>
  <c r="P333" i="7"/>
  <c r="P185" i="7"/>
  <c r="P187" i="7"/>
  <c r="P51" i="7"/>
  <c r="P110" i="7"/>
  <c r="P196" i="7"/>
  <c r="P43" i="7"/>
  <c r="P220" i="7"/>
  <c r="P237" i="7"/>
  <c r="P228" i="7"/>
  <c r="P313" i="7"/>
  <c r="P76" i="7"/>
  <c r="P342" i="7"/>
  <c r="P61" i="7"/>
  <c r="P104" i="7"/>
  <c r="P209" i="7"/>
  <c r="P105" i="7"/>
  <c r="P182" i="7"/>
  <c r="P315" i="7"/>
  <c r="P101" i="7"/>
  <c r="P125" i="7"/>
  <c r="P79" i="7"/>
  <c r="P289" i="7"/>
  <c r="P146" i="7"/>
  <c r="P271" i="7"/>
  <c r="P180" i="7"/>
  <c r="P144" i="7"/>
  <c r="P147" i="7"/>
  <c r="P189" i="7"/>
  <c r="P148" i="7"/>
  <c r="P200" i="7"/>
  <c r="P151" i="7"/>
  <c r="P337" i="7"/>
  <c r="P35" i="7"/>
  <c r="P231" i="7"/>
  <c r="P280" i="7"/>
  <c r="P90" i="7"/>
  <c r="P98" i="7"/>
  <c r="P334" i="7"/>
  <c r="P329" i="7"/>
  <c r="P173" i="7"/>
  <c r="P174" i="7"/>
  <c r="P82" i="7"/>
  <c r="P172" i="7"/>
  <c r="P309" i="7"/>
  <c r="P40" i="7"/>
  <c r="P259" i="7"/>
  <c r="P188" i="7"/>
  <c r="P179" i="7"/>
  <c r="P49" i="7"/>
  <c r="P183" i="7"/>
  <c r="P255" i="7"/>
  <c r="P224" i="7"/>
  <c r="P311" i="7"/>
  <c r="P52" i="7"/>
  <c r="P163" i="7"/>
  <c r="P338" i="7"/>
  <c r="P201" i="7"/>
  <c r="P296" i="7"/>
  <c r="P299" i="7"/>
  <c r="P119" i="7"/>
  <c r="P290" i="7"/>
  <c r="P63" i="7"/>
  <c r="P181" i="7"/>
  <c r="P47" i="7"/>
  <c r="P158" i="7"/>
  <c r="P214" i="7"/>
  <c r="P243" i="7"/>
  <c r="P86" i="7"/>
  <c r="P56" i="7"/>
  <c r="P150" i="7"/>
  <c r="P25" i="7"/>
  <c r="P78" i="7"/>
  <c r="P326" i="7"/>
  <c r="P114" i="7"/>
  <c r="P298" i="7"/>
  <c r="P227" i="7"/>
  <c r="P42" i="7"/>
  <c r="P59" i="7"/>
  <c r="P113" i="7"/>
  <c r="P324" i="7"/>
  <c r="P85" i="7"/>
  <c r="P176" i="7"/>
  <c r="P274" i="7"/>
  <c r="P170" i="7"/>
  <c r="P29" i="7"/>
  <c r="P70" i="7"/>
  <c r="P294" i="7"/>
  <c r="P102" i="7"/>
  <c r="P223" i="7"/>
  <c r="P273" i="7"/>
  <c r="P77" i="7"/>
  <c r="P161" i="7"/>
  <c r="P293" i="7"/>
  <c r="P133" i="7"/>
  <c r="P246" i="7"/>
  <c r="P321" i="7"/>
  <c r="P124" i="7"/>
  <c r="P99" i="7"/>
  <c r="P332" i="7"/>
  <c r="P84" i="7"/>
  <c r="P198" i="7"/>
  <c r="P68" i="7"/>
  <c r="P131" i="7"/>
  <c r="P192" i="7"/>
  <c r="P156" i="7"/>
  <c r="P167" i="7"/>
  <c r="P288" i="7"/>
  <c r="P53" i="7"/>
  <c r="P292" i="7"/>
  <c r="P66" i="7"/>
  <c r="P55" i="7"/>
  <c r="P287" i="7"/>
  <c r="P126" i="7"/>
  <c r="P281" i="7"/>
  <c r="P73" i="7"/>
  <c r="P197" i="7"/>
  <c r="P203" i="7"/>
  <c r="P238" i="7"/>
  <c r="P83" i="7"/>
  <c r="P175" i="7"/>
  <c r="P120" i="7"/>
  <c r="P162" i="7"/>
  <c r="P251" i="7"/>
  <c r="P316" i="7"/>
  <c r="P34" i="7"/>
  <c r="P143" i="7"/>
  <c r="P295" i="7"/>
  <c r="P149" i="7"/>
  <c r="P310" i="7"/>
  <c r="P103" i="7"/>
  <c r="P302" i="7"/>
  <c r="P107" i="7"/>
  <c r="P202" i="7"/>
  <c r="P257" i="7"/>
  <c r="P60" i="7"/>
  <c r="P275" i="7"/>
  <c r="P331" i="7"/>
  <c r="P186" i="7"/>
  <c r="P169" i="7"/>
  <c r="P39" i="7"/>
  <c r="P115" i="7"/>
  <c r="P235" i="7"/>
  <c r="P37" i="7"/>
  <c r="P26" i="7"/>
  <c r="P232" i="7"/>
  <c r="P236" i="7"/>
  <c r="P58" i="7"/>
  <c r="P213" i="7"/>
  <c r="P283" i="7"/>
  <c r="P80" i="7"/>
  <c r="P48" i="7"/>
  <c r="P306" i="7"/>
  <c r="P67" i="7"/>
  <c r="P266" i="7"/>
  <c r="P152" i="7"/>
  <c r="P22" i="7"/>
  <c r="P24" i="7"/>
  <c r="P134" i="7"/>
  <c r="P118" i="7"/>
  <c r="P253" i="7"/>
  <c r="P335" i="7"/>
  <c r="P267" i="7"/>
  <c r="P300" i="7"/>
  <c r="P164" i="7"/>
  <c r="P100" i="7"/>
  <c r="P245" i="7"/>
  <c r="P336" i="7"/>
  <c r="P154" i="7"/>
  <c r="P184" i="7"/>
  <c r="P112" i="7"/>
  <c r="P218" i="7"/>
  <c r="P219" i="7"/>
  <c r="P269" i="7"/>
  <c r="P194" i="7"/>
  <c r="P317" i="7"/>
  <c r="P64" i="7"/>
  <c r="P159" i="7"/>
  <c r="P233" i="7"/>
  <c r="P199" i="7"/>
  <c r="P272" i="7"/>
  <c r="P242" i="7"/>
  <c r="P129" i="7"/>
  <c r="P249" i="7"/>
  <c r="P278" i="7"/>
  <c r="P323" i="7"/>
  <c r="P106" i="7"/>
  <c r="P279" i="7"/>
  <c r="P41" i="7"/>
  <c r="P137" i="7"/>
  <c r="P30" i="7"/>
  <c r="P123" i="7"/>
  <c r="P23" i="7"/>
  <c r="P297" i="7"/>
  <c r="P89" i="7"/>
  <c r="P168" i="7"/>
  <c r="P247" i="7"/>
  <c r="P268" i="7"/>
  <c r="P91" i="7"/>
  <c r="P195" i="7"/>
  <c r="P191" i="7"/>
  <c r="P241" i="7"/>
  <c r="P93" i="7"/>
  <c r="P327" i="7"/>
  <c r="P139" i="7"/>
  <c r="P160" i="7"/>
  <c r="P87" i="7"/>
  <c r="P226" i="7"/>
  <c r="P282" i="7"/>
  <c r="P225" i="7"/>
  <c r="P72" i="7"/>
  <c r="P322" i="7"/>
  <c r="P21" i="7"/>
  <c r="P264" i="7"/>
  <c r="P291" i="7"/>
  <c r="P340" i="7"/>
  <c r="P141" i="7"/>
  <c r="P50" i="7"/>
  <c r="P307" i="7"/>
  <c r="P71" i="7"/>
  <c r="P108" i="7"/>
  <c r="P81" i="7"/>
  <c r="P74" i="7"/>
  <c r="P32" i="7"/>
  <c r="P95" i="7"/>
  <c r="P65" i="7"/>
  <c r="P94" i="7"/>
  <c r="P305" i="7"/>
  <c r="P240" i="7"/>
  <c r="P116" i="7"/>
  <c r="P166" i="7"/>
  <c r="P284" i="7"/>
  <c r="P325" i="7"/>
  <c r="P254" i="7"/>
  <c r="P211" i="7"/>
  <c r="P260" i="7"/>
  <c r="P208" i="7"/>
  <c r="P250" i="7"/>
  <c r="P210" i="7"/>
  <c r="P319" i="7"/>
  <c r="P258" i="7"/>
  <c r="P193" i="7"/>
  <c r="P339" i="7"/>
  <c r="P330" i="7"/>
  <c r="P229" i="7"/>
  <c r="P270" i="7"/>
  <c r="P97" i="7"/>
  <c r="P285" i="7"/>
  <c r="P96" i="7"/>
  <c r="P127" i="7"/>
  <c r="P130" i="7"/>
  <c r="P178" i="7"/>
  <c r="P222" i="7"/>
  <c r="P204" i="7"/>
  <c r="P248" i="7"/>
  <c r="P217" i="7"/>
  <c r="P171" i="7"/>
  <c r="P88" i="7"/>
  <c r="P239" i="7"/>
  <c r="P277" i="7"/>
  <c r="P262" i="7"/>
  <c r="P212" i="7"/>
  <c r="P263" i="7"/>
  <c r="P328" i="7"/>
  <c r="P207" i="7"/>
  <c r="P205" i="7"/>
  <c r="P36" i="7"/>
  <c r="P142" i="7"/>
  <c r="P27" i="7"/>
  <c r="P165" i="7"/>
  <c r="P117" i="7"/>
  <c r="P265" i="7"/>
  <c r="P286" i="7"/>
  <c r="P31" i="7"/>
  <c r="P256" i="7"/>
  <c r="P341" i="7"/>
  <c r="P244" i="7"/>
  <c r="P177" i="7"/>
  <c r="P136" i="7"/>
  <c r="P304" i="7"/>
  <c r="P318" i="7"/>
  <c r="P44" i="7"/>
  <c r="P216" i="7"/>
  <c r="P190" i="7"/>
  <c r="P92" i="7"/>
  <c r="P38" i="7"/>
  <c r="P312" i="7"/>
  <c r="P206" i="7"/>
  <c r="P135" i="7"/>
  <c r="P157" i="7"/>
  <c r="P75" i="7"/>
  <c r="P276" i="7"/>
  <c r="P301" i="7"/>
  <c r="P234" i="7"/>
  <c r="P45" i="7"/>
  <c r="P320" i="7"/>
  <c r="P33" i="7"/>
  <c r="P261" i="7"/>
  <c r="P221" i="7"/>
  <c r="P155" i="7"/>
  <c r="P69" i="7"/>
  <c r="P121" i="7"/>
  <c r="P308" i="7"/>
  <c r="P138" i="7"/>
  <c r="P230" i="7"/>
  <c r="P111" i="7"/>
  <c r="P54" i="7"/>
  <c r="P109" i="7"/>
  <c r="P122" i="7"/>
  <c r="P46" i="7"/>
  <c r="P62" i="7"/>
  <c r="P314" i="7"/>
  <c r="P28" i="7"/>
  <c r="P128" i="7"/>
  <c r="P303" i="7"/>
  <c r="P140" i="7"/>
  <c r="P215" i="7"/>
  <c r="P145" i="7"/>
  <c r="E5" i="7"/>
  <c r="O67" i="2"/>
  <c r="O35" i="2"/>
  <c r="O88" i="2"/>
  <c r="O74" i="2"/>
  <c r="O26" i="2"/>
  <c r="O59" i="2"/>
  <c r="O49" i="2"/>
  <c r="O33" i="2"/>
  <c r="O27" i="2"/>
  <c r="O45" i="2"/>
  <c r="O91" i="2"/>
  <c r="O37" i="2"/>
  <c r="O38" i="2"/>
  <c r="O87" i="2"/>
  <c r="O77" i="2"/>
  <c r="O71" i="2"/>
  <c r="O75" i="2"/>
  <c r="O68" i="2"/>
  <c r="O23" i="2"/>
  <c r="O81" i="2"/>
  <c r="O46" i="2"/>
  <c r="O89" i="2"/>
  <c r="O32" i="2"/>
  <c r="O21" i="2"/>
  <c r="O65" i="2"/>
  <c r="O34" i="2"/>
  <c r="O30" i="2"/>
  <c r="O86" i="2"/>
  <c r="O55" i="2"/>
  <c r="O58" i="2"/>
  <c r="O31" i="2"/>
  <c r="O80" i="2"/>
  <c r="O54" i="2"/>
  <c r="O44" i="2"/>
  <c r="O78" i="2"/>
  <c r="O56" i="2"/>
  <c r="O60" i="2"/>
  <c r="O36" i="2"/>
  <c r="O39" i="2"/>
  <c r="O61" i="2"/>
  <c r="O43" i="2"/>
  <c r="O85" i="2"/>
  <c r="O42" i="2"/>
  <c r="O51" i="2"/>
  <c r="O82" i="2"/>
  <c r="O41" i="2"/>
  <c r="O57" i="2"/>
  <c r="O25" i="2"/>
  <c r="O50" i="2"/>
  <c r="O28" i="2"/>
  <c r="O83" i="2"/>
  <c r="O29" i="2"/>
  <c r="O53" i="2"/>
  <c r="O76" i="2"/>
  <c r="O24" i="2"/>
  <c r="O72" i="2"/>
  <c r="O22" i="2"/>
  <c r="O62" i="2"/>
  <c r="O70" i="2"/>
  <c r="O79" i="2"/>
  <c r="O52" i="2"/>
  <c r="O66" i="2"/>
  <c r="O47" i="2"/>
  <c r="O69" i="2"/>
  <c r="O90" i="2"/>
  <c r="O73" i="2"/>
  <c r="O64" i="2"/>
  <c r="O63" i="2"/>
  <c r="O40" i="2"/>
  <c r="O48" i="2"/>
  <c r="O84" i="2"/>
  <c r="O7" i="2"/>
  <c r="E4" i="2" s="1"/>
  <c r="Q94" i="8"/>
  <c r="Q21" i="8"/>
  <c r="Q98" i="8"/>
  <c r="Q95" i="8"/>
  <c r="Q41" i="8"/>
  <c r="Q49" i="8"/>
  <c r="Q81" i="8"/>
  <c r="Q63" i="8"/>
  <c r="Q70" i="8"/>
  <c r="Q67" i="8"/>
  <c r="Q51" i="8"/>
  <c r="Q25" i="8"/>
  <c r="Q39" i="8"/>
  <c r="Q36" i="8"/>
  <c r="Q66" i="8"/>
  <c r="Q28" i="8"/>
  <c r="Q84" i="8"/>
  <c r="Q60" i="8"/>
  <c r="Q77" i="8"/>
  <c r="Q38" i="8"/>
  <c r="Q100" i="8"/>
  <c r="Q71" i="8"/>
  <c r="Q103" i="8"/>
  <c r="Q101" i="8"/>
  <c r="Q58" i="8"/>
  <c r="Q93" i="8"/>
  <c r="Q91" i="8"/>
  <c r="Q64" i="8"/>
  <c r="Q104" i="8"/>
  <c r="Q89" i="8"/>
  <c r="Q57" i="8"/>
  <c r="Q96" i="8"/>
  <c r="Q61" i="8"/>
  <c r="Q87" i="8"/>
  <c r="Q65" i="8"/>
  <c r="Q83" i="8"/>
  <c r="Q33" i="8"/>
  <c r="Q42" i="8"/>
  <c r="Q50" i="8"/>
  <c r="Q45" i="8"/>
  <c r="Q55" i="8"/>
  <c r="Q34" i="8"/>
  <c r="Q79" i="8"/>
  <c r="Q35" i="8"/>
  <c r="Q76" i="8"/>
  <c r="Q44" i="8"/>
  <c r="Q68" i="8"/>
  <c r="Q46" i="8"/>
  <c r="Q56" i="8"/>
  <c r="Q82" i="8"/>
  <c r="Q73" i="8"/>
  <c r="Q31" i="8"/>
  <c r="Q62" i="8"/>
  <c r="Q40" i="8"/>
  <c r="Q72" i="8"/>
  <c r="Q32" i="8"/>
  <c r="Q80" i="8"/>
  <c r="Q99" i="8"/>
  <c r="Q69" i="8"/>
  <c r="Q29" i="8"/>
  <c r="Q26" i="8"/>
  <c r="Q54" i="8"/>
  <c r="Q43" i="8"/>
  <c r="Q22" i="8"/>
  <c r="Q53" i="8"/>
  <c r="Q37" i="8"/>
  <c r="Q90" i="8"/>
  <c r="Q75" i="8"/>
  <c r="Q48" i="8"/>
  <c r="Q102" i="8"/>
  <c r="Q86" i="8"/>
  <c r="Q27" i="8"/>
  <c r="Q47" i="8"/>
  <c r="Q74" i="8"/>
  <c r="Q88" i="8"/>
  <c r="Q85" i="8"/>
  <c r="Q23" i="8"/>
  <c r="Q92" i="8"/>
  <c r="Q24" i="8"/>
  <c r="Q30" i="8"/>
  <c r="Q59" i="8"/>
  <c r="Q97" i="8"/>
  <c r="Q78" i="8"/>
  <c r="Q52" i="8"/>
  <c r="P75" i="8"/>
  <c r="P81" i="8"/>
  <c r="P60" i="8"/>
  <c r="P58" i="8"/>
  <c r="P96" i="8"/>
  <c r="P41" i="8"/>
  <c r="P57" i="8"/>
  <c r="P88" i="8"/>
  <c r="P83" i="8"/>
  <c r="P84" i="8"/>
  <c r="P104" i="8"/>
  <c r="P36" i="8"/>
  <c r="P72" i="8"/>
  <c r="P78" i="8"/>
  <c r="P91" i="8"/>
  <c r="P21" i="8"/>
  <c r="P52" i="8"/>
  <c r="P68" i="8"/>
  <c r="P99" i="8"/>
  <c r="P66" i="8"/>
  <c r="P65" i="8"/>
  <c r="P70" i="8"/>
  <c r="P25" i="8"/>
  <c r="P23" i="8"/>
  <c r="P40" i="8"/>
  <c r="P97" i="8"/>
  <c r="P53" i="8"/>
  <c r="P79" i="8"/>
  <c r="P85" i="8"/>
  <c r="P67" i="8"/>
  <c r="P35" i="8"/>
  <c r="P49" i="8"/>
  <c r="P43" i="8"/>
  <c r="P22" i="8"/>
  <c r="P47" i="8"/>
  <c r="P82" i="8"/>
  <c r="P76" i="8"/>
  <c r="P33" i="8"/>
  <c r="P32" i="8"/>
  <c r="P89" i="8"/>
  <c r="P69" i="8"/>
  <c r="P39" i="8"/>
  <c r="P50" i="8"/>
  <c r="P92" i="8"/>
  <c r="P80" i="8"/>
  <c r="P86" i="8"/>
  <c r="P29" i="8"/>
  <c r="P37" i="8"/>
  <c r="P30" i="8"/>
  <c r="P48" i="8"/>
  <c r="P59" i="8"/>
  <c r="P54" i="8"/>
  <c r="P74" i="8"/>
  <c r="P34" i="8"/>
  <c r="P55" i="8"/>
  <c r="P51" i="8"/>
  <c r="P73" i="8"/>
  <c r="P31" i="8"/>
  <c r="P103" i="8"/>
  <c r="P93" i="8"/>
  <c r="P64" i="8"/>
  <c r="P24" i="8"/>
  <c r="P28" i="8"/>
  <c r="P56" i="8"/>
  <c r="P101" i="8"/>
  <c r="P44" i="8"/>
  <c r="P102" i="8"/>
  <c r="P61" i="8"/>
  <c r="P46" i="8"/>
  <c r="P94" i="8"/>
  <c r="P98" i="8"/>
  <c r="P87" i="8"/>
  <c r="P77" i="8"/>
  <c r="P26" i="8"/>
  <c r="P62" i="8"/>
  <c r="P63" i="8"/>
  <c r="P45" i="8"/>
  <c r="P100" i="8"/>
  <c r="P27" i="8"/>
  <c r="P38" i="8"/>
  <c r="P90" i="8"/>
  <c r="P71" i="8"/>
  <c r="P42" i="8"/>
  <c r="P95" i="8"/>
  <c r="Q231" i="7"/>
  <c r="Q35" i="7"/>
  <c r="Q264" i="7"/>
  <c r="Q256" i="7"/>
  <c r="Q36" i="7"/>
  <c r="Q218" i="7"/>
  <c r="Q249" i="7"/>
  <c r="Q165" i="7"/>
  <c r="Q143" i="7"/>
  <c r="Q253" i="7"/>
  <c r="Q115" i="7"/>
  <c r="Q304" i="7"/>
  <c r="Q71" i="7"/>
  <c r="Q281" i="7"/>
  <c r="Q136" i="7"/>
  <c r="Q280" i="7"/>
  <c r="Q311" i="7"/>
  <c r="Q262" i="7"/>
  <c r="Q52" i="7"/>
  <c r="Q198" i="7"/>
  <c r="Q45" i="7"/>
  <c r="Q102" i="7"/>
  <c r="Q318" i="7"/>
  <c r="Q156" i="7"/>
  <c r="Q193" i="7"/>
  <c r="Q53" i="7"/>
  <c r="Q323" i="7"/>
  <c r="Q68" i="7"/>
  <c r="Q46" i="7"/>
  <c r="Q148" i="7"/>
  <c r="Q339" i="7"/>
  <c r="Q242" i="7"/>
  <c r="Q55" i="7"/>
  <c r="Q272" i="7"/>
  <c r="Q42" i="7"/>
  <c r="Q54" i="7"/>
  <c r="Q289" i="7"/>
  <c r="Q108" i="7"/>
  <c r="Q255" i="7"/>
  <c r="Q76" i="7"/>
  <c r="Q307" i="7"/>
  <c r="Q305" i="7"/>
  <c r="Q66" i="7"/>
  <c r="Q141" i="7"/>
  <c r="Q137" i="7"/>
  <c r="Q267" i="7"/>
  <c r="Q173" i="7"/>
  <c r="Q72" i="7"/>
  <c r="Q228" i="7"/>
  <c r="Q38" i="7"/>
  <c r="Q246" i="7"/>
  <c r="Q279" i="7"/>
  <c r="Q276" i="7"/>
  <c r="Q325" i="7"/>
  <c r="Q153" i="7"/>
  <c r="Q260" i="7"/>
  <c r="Q196" i="7"/>
  <c r="Q89" i="7"/>
  <c r="Q186" i="7"/>
  <c r="Q127" i="7"/>
  <c r="Q200" i="7"/>
  <c r="Q269" i="7"/>
  <c r="Q106" i="7"/>
  <c r="Q207" i="7"/>
  <c r="Q57" i="7"/>
  <c r="Q27" i="7"/>
  <c r="Q133" i="7"/>
  <c r="Q64" i="7"/>
  <c r="Q211" i="7"/>
  <c r="Q105" i="7"/>
  <c r="Q83" i="7"/>
  <c r="Q61" i="7"/>
  <c r="Q299" i="7"/>
  <c r="Q130" i="7"/>
  <c r="Q205" i="7"/>
  <c r="Q22" i="7"/>
  <c r="Q103" i="7"/>
  <c r="Q128" i="7"/>
  <c r="Q313" i="7"/>
  <c r="Q174" i="7"/>
  <c r="Q80" i="7"/>
  <c r="Q164" i="7"/>
  <c r="Q309" i="7"/>
  <c r="Q40" i="7"/>
  <c r="Q112" i="7"/>
  <c r="Q290" i="7"/>
  <c r="Q286" i="7"/>
  <c r="Q77" i="7"/>
  <c r="Q98" i="7"/>
  <c r="Q56" i="7"/>
  <c r="Q210" i="7"/>
  <c r="Q197" i="7"/>
  <c r="Q257" i="7"/>
  <c r="Q37" i="7"/>
  <c r="Q175" i="7"/>
  <c r="Q341" i="7"/>
  <c r="Q49" i="7"/>
  <c r="Q184" i="7"/>
  <c r="Q99" i="7"/>
  <c r="Q232" i="7"/>
  <c r="Q194" i="7"/>
  <c r="Q50" i="7"/>
  <c r="Q319" i="7"/>
  <c r="Q88" i="7"/>
  <c r="Q166" i="7"/>
  <c r="Q111" i="7"/>
  <c r="Q282" i="7"/>
  <c r="Q176" i="7"/>
  <c r="Q152" i="7"/>
  <c r="Q230" i="7"/>
  <c r="Q177" i="7"/>
  <c r="Q74" i="7"/>
  <c r="Q190" i="7"/>
  <c r="Q306" i="7"/>
  <c r="Q120" i="7"/>
  <c r="Q81" i="7"/>
  <c r="Q114" i="7"/>
  <c r="Q107" i="7"/>
  <c r="Q330" i="7"/>
  <c r="Q67" i="7"/>
  <c r="Q303" i="7"/>
  <c r="Q292" i="7"/>
  <c r="Q226" i="7"/>
  <c r="Q214" i="7"/>
  <c r="Q213" i="7"/>
  <c r="Q297" i="7"/>
  <c r="Q29" i="7"/>
  <c r="Q123" i="7"/>
  <c r="Q87" i="7"/>
  <c r="Q73" i="7"/>
  <c r="Q23" i="7"/>
  <c r="Q180" i="7"/>
  <c r="Q326" i="7"/>
  <c r="Q284" i="7"/>
  <c r="Q118" i="7"/>
  <c r="Q331" i="7"/>
  <c r="Q191" i="7"/>
  <c r="Q155" i="7"/>
  <c r="Q195" i="7"/>
  <c r="Q258" i="7"/>
  <c r="Q310" i="7"/>
  <c r="Q24" i="7"/>
  <c r="Q160" i="7"/>
  <c r="Q261" i="7"/>
  <c r="Q283" i="7"/>
  <c r="Q181" i="7"/>
  <c r="Q189" i="7"/>
  <c r="Q170" i="7"/>
  <c r="Q179" i="7"/>
  <c r="Q316" i="7"/>
  <c r="Q86" i="7"/>
  <c r="Q223" i="7"/>
  <c r="Q270" i="7"/>
  <c r="Q182" i="7"/>
  <c r="Q142" i="7"/>
  <c r="Q171" i="7"/>
  <c r="Q274" i="7"/>
  <c r="Q82" i="7"/>
  <c r="Q100" i="7"/>
  <c r="Q26" i="7"/>
  <c r="Q157" i="7"/>
  <c r="Q30" i="7"/>
  <c r="Q90" i="7"/>
  <c r="Q59" i="7"/>
  <c r="Q265" i="7"/>
  <c r="Q34" i="7"/>
  <c r="Q278" i="7"/>
  <c r="Q301" i="7"/>
  <c r="Q65" i="7"/>
  <c r="Q324" i="7"/>
  <c r="Q277" i="7"/>
  <c r="Q78" i="7"/>
  <c r="Q147" i="7"/>
  <c r="Q201" i="7"/>
  <c r="Q144" i="7"/>
  <c r="Q168" i="7"/>
  <c r="Q31" i="7"/>
  <c r="Q308" i="7"/>
  <c r="Q252" i="7"/>
  <c r="Q317" i="7"/>
  <c r="Q117" i="7"/>
  <c r="Q122" i="7"/>
  <c r="Q271" i="7"/>
  <c r="Q28" i="7"/>
  <c r="Q245" i="7"/>
  <c r="Q329" i="7"/>
  <c r="Q161" i="7"/>
  <c r="Q110" i="7"/>
  <c r="Q336" i="7"/>
  <c r="Q236" i="7"/>
  <c r="Q93" i="7"/>
  <c r="Q119" i="7"/>
  <c r="Q125" i="7"/>
  <c r="Q332" i="7"/>
  <c r="Q48" i="7"/>
  <c r="Q291" i="7"/>
  <c r="Q334" i="7"/>
  <c r="Q91" i="7"/>
  <c r="Q206" i="7"/>
  <c r="Q199" i="7"/>
  <c r="Q149" i="7"/>
  <c r="Q302" i="7"/>
  <c r="Q187" i="7"/>
  <c r="Q21" i="7"/>
  <c r="Q340" i="7"/>
  <c r="Q95" i="7"/>
  <c r="Q116" i="7"/>
  <c r="Q101" i="7"/>
  <c r="Q244" i="7"/>
  <c r="Q337" i="7"/>
  <c r="Q248" i="7"/>
  <c r="Q69" i="7"/>
  <c r="Q75" i="7"/>
  <c r="Q203" i="7"/>
  <c r="Q293" i="7"/>
  <c r="Q25" i="7"/>
  <c r="Q172" i="7"/>
  <c r="Q145" i="7"/>
  <c r="Q212" i="7"/>
  <c r="Q333" i="7"/>
  <c r="Q44" i="7"/>
  <c r="Q92" i="7"/>
  <c r="Q287" i="7"/>
  <c r="Q327" i="7"/>
  <c r="Q314" i="7"/>
  <c r="Q104" i="7"/>
  <c r="Q209" i="7"/>
  <c r="Q263" i="7"/>
  <c r="Q188" i="7"/>
  <c r="Q185" i="7"/>
  <c r="Q328" i="7"/>
  <c r="Q151" i="7"/>
  <c r="Q167" i="7"/>
  <c r="Q150" i="7"/>
  <c r="Q320" i="7"/>
  <c r="Q251" i="7"/>
  <c r="Q225" i="7"/>
  <c r="Q285" i="7"/>
  <c r="Q132" i="7"/>
  <c r="Q322" i="7"/>
  <c r="Q169" i="7"/>
  <c r="Q254" i="7"/>
  <c r="Q234" i="7"/>
  <c r="Q208" i="7"/>
  <c r="Q220" i="7"/>
  <c r="Q134" i="7"/>
  <c r="Q109" i="7"/>
  <c r="Q63" i="7"/>
  <c r="Q51" i="7"/>
  <c r="Q241" i="7"/>
  <c r="Q321" i="7"/>
  <c r="Q268" i="7"/>
  <c r="Q121" i="7"/>
  <c r="Q163" i="7"/>
  <c r="Q335" i="7"/>
  <c r="Q33" i="7"/>
  <c r="Q162" i="7"/>
  <c r="Q217" i="7"/>
  <c r="Q202" i="7"/>
  <c r="Q250" i="7"/>
  <c r="Q315" i="7"/>
  <c r="Q192" i="7"/>
  <c r="Q47" i="7"/>
  <c r="Q296" i="7"/>
  <c r="Q342" i="7"/>
  <c r="Q41" i="7"/>
  <c r="Q135" i="7"/>
  <c r="Q338" i="7"/>
  <c r="Q138" i="7"/>
  <c r="Q237" i="7"/>
  <c r="Q158" i="7"/>
  <c r="Q32" i="7"/>
  <c r="Q238" i="7"/>
  <c r="Q178" i="7"/>
  <c r="Q139" i="7"/>
  <c r="Q300" i="7"/>
  <c r="Q298" i="7"/>
  <c r="Q60" i="7"/>
  <c r="Q247" i="7"/>
  <c r="Q113" i="7"/>
  <c r="Q126" i="7"/>
  <c r="Q146" i="7"/>
  <c r="Q215" i="7"/>
  <c r="Q312" i="7"/>
  <c r="Q243" i="7"/>
  <c r="Q140" i="7"/>
  <c r="Q216" i="7"/>
  <c r="Q85" i="7"/>
  <c r="Q70" i="7"/>
  <c r="Q294" i="7"/>
  <c r="Q43" i="7"/>
  <c r="Q235" i="7"/>
  <c r="Q124" i="7"/>
  <c r="Q239" i="7"/>
  <c r="Q227" i="7"/>
  <c r="Q131" i="7"/>
  <c r="Q94" i="7"/>
  <c r="Q275" i="7"/>
  <c r="Q97" i="7"/>
  <c r="Q58" i="7"/>
  <c r="Q79" i="7"/>
  <c r="Q288" i="7"/>
  <c r="Q221" i="7"/>
  <c r="Q39" i="7"/>
  <c r="Q129" i="7"/>
  <c r="Q204" i="7"/>
  <c r="Q222" i="7"/>
  <c r="Q84" i="7"/>
  <c r="Q233" i="7"/>
  <c r="Q240" i="7"/>
  <c r="Q219" i="7"/>
  <c r="Q229" i="7"/>
  <c r="Q259" i="7"/>
  <c r="Q159" i="7"/>
  <c r="Q96" i="7"/>
  <c r="Q224" i="7"/>
  <c r="Q295" i="7"/>
  <c r="Q183" i="7"/>
  <c r="Q273" i="7"/>
  <c r="Q154" i="7"/>
  <c r="Q62" i="7"/>
  <c r="Q266" i="7"/>
  <c r="O56" i="8"/>
  <c r="O54" i="8"/>
  <c r="O44" i="8"/>
  <c r="O82" i="8"/>
  <c r="O25" i="8"/>
  <c r="O67" i="8"/>
  <c r="O40" i="8"/>
  <c r="O72" i="8"/>
  <c r="O101" i="8"/>
  <c r="O91" i="8"/>
  <c r="O90" i="8"/>
  <c r="O96" i="8"/>
  <c r="O102" i="8"/>
  <c r="O85" i="8"/>
  <c r="O68" i="8"/>
  <c r="O34" i="8"/>
  <c r="O70" i="8"/>
  <c r="O52" i="8"/>
  <c r="O38" i="8"/>
  <c r="O28" i="8"/>
  <c r="O50" i="8"/>
  <c r="O53" i="8"/>
  <c r="O51" i="8"/>
  <c r="O57" i="8"/>
  <c r="O39" i="8"/>
  <c r="O22" i="8"/>
  <c r="O100" i="8"/>
  <c r="O73" i="8"/>
  <c r="O47" i="8"/>
  <c r="O43" i="8"/>
  <c r="O66" i="8"/>
  <c r="O64" i="8"/>
  <c r="O30" i="8"/>
  <c r="O36" i="8"/>
  <c r="O74" i="8"/>
  <c r="O24" i="8"/>
  <c r="O86" i="8"/>
  <c r="O55" i="8"/>
  <c r="O75" i="8"/>
  <c r="O95" i="8"/>
  <c r="O46" i="8"/>
  <c r="O84" i="8"/>
  <c r="O71" i="8"/>
  <c r="O59" i="8"/>
  <c r="O48" i="8"/>
  <c r="O78" i="8"/>
  <c r="O98" i="8"/>
  <c r="O33" i="8"/>
  <c r="O21" i="8"/>
  <c r="O88" i="8"/>
  <c r="O81" i="8"/>
  <c r="O104" i="8"/>
  <c r="O97" i="8"/>
  <c r="O62" i="8"/>
  <c r="O60" i="8"/>
  <c r="O92" i="8"/>
  <c r="O23" i="8"/>
  <c r="O99" i="8"/>
  <c r="O87" i="8"/>
  <c r="O103" i="8"/>
  <c r="O26" i="8"/>
  <c r="O79" i="8"/>
  <c r="O35" i="8"/>
  <c r="O31" i="8"/>
  <c r="O83" i="8"/>
  <c r="O29" i="8"/>
  <c r="O27" i="8"/>
  <c r="O94" i="8"/>
  <c r="O80" i="8"/>
  <c r="O69" i="8"/>
  <c r="O58" i="8"/>
  <c r="O41" i="8"/>
  <c r="O65" i="8"/>
  <c r="O49" i="8"/>
  <c r="O76" i="8"/>
  <c r="O89" i="8"/>
  <c r="O93" i="8"/>
  <c r="O32" i="8"/>
  <c r="O45" i="8"/>
  <c r="O63" i="8"/>
  <c r="O37" i="8"/>
  <c r="O42" i="8"/>
  <c r="O61" i="8"/>
  <c r="O77" i="8"/>
  <c r="O7" i="8"/>
  <c r="E5" i="8" s="1"/>
  <c r="Q18" i="7"/>
  <c r="O18" i="2"/>
  <c r="P18" i="8"/>
  <c r="Q18" i="2"/>
  <c r="O18" i="8"/>
  <c r="P18" i="2"/>
  <c r="Q18" i="8"/>
  <c r="O18" i="7"/>
  <c r="P18" i="7"/>
  <c r="E5" i="2" l="1"/>
  <c r="E6" i="2"/>
  <c r="E9" i="2" s="1"/>
  <c r="E10" i="2" s="1"/>
  <c r="E6" i="7"/>
  <c r="E9" i="7" s="1"/>
  <c r="E10" i="7" s="1"/>
  <c r="E6" i="8"/>
  <c r="E9" i="8" s="1"/>
  <c r="E10" i="8" s="1"/>
  <c r="E4" i="8"/>
  <c r="M56" i="2" l="1"/>
  <c r="V12" i="2"/>
  <c r="M48" i="2"/>
  <c r="N48" i="2" s="1"/>
  <c r="V7" i="2"/>
  <c r="V6" i="2"/>
  <c r="V18" i="2"/>
  <c r="M31" i="2"/>
  <c r="N31" i="2" s="1"/>
  <c r="M22" i="2"/>
  <c r="R22" i="2" s="1"/>
  <c r="M78" i="2"/>
  <c r="N78" i="2" s="1"/>
  <c r="M290" i="7"/>
  <c r="R290" i="7" s="1"/>
  <c r="M33" i="2"/>
  <c r="M88" i="2"/>
  <c r="V14" i="2"/>
  <c r="M71" i="2"/>
  <c r="R71" i="2" s="1"/>
  <c r="M90" i="2"/>
  <c r="N90" i="2" s="1"/>
  <c r="M68" i="2"/>
  <c r="N68" i="2" s="1"/>
  <c r="M89" i="2"/>
  <c r="N89" i="2" s="1"/>
  <c r="M83" i="2"/>
  <c r="M52" i="2"/>
  <c r="N52" i="2" s="1"/>
  <c r="M47" i="2"/>
  <c r="N47" i="2" s="1"/>
  <c r="M28" i="7"/>
  <c r="R28" i="7" s="1"/>
  <c r="M75" i="2"/>
  <c r="N75" i="2" s="1"/>
  <c r="M54" i="2"/>
  <c r="R54" i="2" s="1"/>
  <c r="M87" i="2"/>
  <c r="R87" i="2" s="1"/>
  <c r="M72" i="2"/>
  <c r="R72" i="2" s="1"/>
  <c r="M70" i="2"/>
  <c r="M307" i="7"/>
  <c r="N307" i="7" s="1"/>
  <c r="M82" i="2"/>
  <c r="M91" i="2"/>
  <c r="R91" i="2" s="1"/>
  <c r="M43" i="2"/>
  <c r="R43" i="2" s="1"/>
  <c r="M80" i="2"/>
  <c r="N80" i="2" s="1"/>
  <c r="M56" i="7"/>
  <c r="N56" i="7" s="1"/>
  <c r="M79" i="2"/>
  <c r="R79" i="2" s="1"/>
  <c r="M76" i="2"/>
  <c r="R76" i="2" s="1"/>
  <c r="M41" i="2"/>
  <c r="N41" i="2" s="1"/>
  <c r="V15" i="2"/>
  <c r="V13" i="2"/>
  <c r="M27" i="7"/>
  <c r="N27" i="7" s="1"/>
  <c r="M229" i="7"/>
  <c r="R229" i="7" s="1"/>
  <c r="M50" i="2"/>
  <c r="N50" i="2" s="1"/>
  <c r="M86" i="2"/>
  <c r="M25" i="2"/>
  <c r="M29" i="2"/>
  <c r="R29" i="2" s="1"/>
  <c r="M55" i="2"/>
  <c r="R55" i="2" s="1"/>
  <c r="M23" i="2"/>
  <c r="R23" i="2" s="1"/>
  <c r="M46" i="2"/>
  <c r="N46" i="2" s="1"/>
  <c r="M85" i="2"/>
  <c r="N85" i="2" s="1"/>
  <c r="M74" i="2"/>
  <c r="N74" i="2" s="1"/>
  <c r="M67" i="2"/>
  <c r="N67" i="2" s="1"/>
  <c r="M69" i="2"/>
  <c r="N69" i="2" s="1"/>
  <c r="M333" i="7"/>
  <c r="N333" i="7" s="1"/>
  <c r="M39" i="2"/>
  <c r="M49" i="2"/>
  <c r="N49" i="2" s="1"/>
  <c r="M36" i="2"/>
  <c r="R36" i="2" s="1"/>
  <c r="M59" i="2"/>
  <c r="N59" i="2" s="1"/>
  <c r="V2" i="2"/>
  <c r="M58" i="2"/>
  <c r="V3" i="2"/>
  <c r="M73" i="2"/>
  <c r="R73" i="2" s="1"/>
  <c r="M81" i="2"/>
  <c r="R81" i="2" s="1"/>
  <c r="M44" i="2"/>
  <c r="N44" i="2" s="1"/>
  <c r="M26" i="2"/>
  <c r="R26" i="2" s="1"/>
  <c r="M60" i="2"/>
  <c r="N60" i="2" s="1"/>
  <c r="M61" i="2"/>
  <c r="N61" i="2" s="1"/>
  <c r="M64" i="2"/>
  <c r="R64" i="2" s="1"/>
  <c r="M66" i="2"/>
  <c r="R66" i="2" s="1"/>
  <c r="V8" i="2"/>
  <c r="M77" i="2"/>
  <c r="R77" i="2" s="1"/>
  <c r="M28" i="2"/>
  <c r="R28" i="2" s="1"/>
  <c r="M84" i="2"/>
  <c r="N84" i="2" s="1"/>
  <c r="M57" i="2"/>
  <c r="R57" i="2" s="1"/>
  <c r="M37" i="2"/>
  <c r="R37" i="2" s="1"/>
  <c r="M21" i="2"/>
  <c r="N21" i="2" s="1"/>
  <c r="V4" i="2"/>
  <c r="M267" i="7"/>
  <c r="R267" i="7" s="1"/>
  <c r="M65" i="2"/>
  <c r="N65" i="2" s="1"/>
  <c r="M42" i="2"/>
  <c r="R42" i="2" s="1"/>
  <c r="M24" i="2"/>
  <c r="R24" i="2" s="1"/>
  <c r="M51" i="2"/>
  <c r="N51" i="2" s="1"/>
  <c r="M34" i="2"/>
  <c r="N34" i="2" s="1"/>
  <c r="M62" i="2"/>
  <c r="N62" i="2" s="1"/>
  <c r="V10" i="2"/>
  <c r="V16" i="2"/>
  <c r="M32" i="2"/>
  <c r="R32" i="2" s="1"/>
  <c r="V9" i="2"/>
  <c r="M35" i="2"/>
  <c r="R35" i="2" s="1"/>
  <c r="M38" i="2"/>
  <c r="R38" i="2" s="1"/>
  <c r="V11" i="2"/>
  <c r="M45" i="2"/>
  <c r="R45" i="2" s="1"/>
  <c r="M30" i="2"/>
  <c r="R30" i="2" s="1"/>
  <c r="V5" i="2"/>
  <c r="M27" i="2"/>
  <c r="N27" i="2" s="1"/>
  <c r="V17" i="2"/>
  <c r="M53" i="2"/>
  <c r="R53" i="2" s="1"/>
  <c r="M40" i="2"/>
  <c r="R40" i="2" s="1"/>
  <c r="M63" i="2"/>
  <c r="N63" i="2" s="1"/>
  <c r="M309" i="7"/>
  <c r="R309" i="7" s="1"/>
  <c r="M64" i="7"/>
  <c r="R64" i="7" s="1"/>
  <c r="M179" i="7"/>
  <c r="R179" i="7" s="1"/>
  <c r="M296" i="7"/>
  <c r="N296" i="7" s="1"/>
  <c r="M194" i="7"/>
  <c r="N194" i="7" s="1"/>
  <c r="M166" i="7"/>
  <c r="R166" i="7" s="1"/>
  <c r="M237" i="7"/>
  <c r="N237" i="7" s="1"/>
  <c r="V6" i="7"/>
  <c r="M116" i="7"/>
  <c r="N116" i="7" s="1"/>
  <c r="M46" i="7"/>
  <c r="R46" i="7" s="1"/>
  <c r="M149" i="7"/>
  <c r="N149" i="7" s="1"/>
  <c r="M329" i="7"/>
  <c r="N329" i="7" s="1"/>
  <c r="M270" i="7"/>
  <c r="R270" i="7" s="1"/>
  <c r="M231" i="7"/>
  <c r="N231" i="7" s="1"/>
  <c r="M323" i="7"/>
  <c r="R323" i="7" s="1"/>
  <c r="M108" i="7"/>
  <c r="R108" i="7" s="1"/>
  <c r="M35" i="7"/>
  <c r="R35" i="7" s="1"/>
  <c r="M175" i="7"/>
  <c r="N175" i="7" s="1"/>
  <c r="M54" i="7"/>
  <c r="N54" i="7" s="1"/>
  <c r="M156" i="7"/>
  <c r="N156" i="7" s="1"/>
  <c r="M142" i="7"/>
  <c r="R142" i="7" s="1"/>
  <c r="M48" i="7"/>
  <c r="R48" i="7" s="1"/>
  <c r="M136" i="7"/>
  <c r="N136" i="7" s="1"/>
  <c r="M123" i="7"/>
  <c r="N123" i="7" s="1"/>
  <c r="M274" i="7"/>
  <c r="N274" i="7" s="1"/>
  <c r="M230" i="7"/>
  <c r="N230" i="7" s="1"/>
  <c r="M58" i="7"/>
  <c r="N58" i="7" s="1"/>
  <c r="M168" i="7"/>
  <c r="N168" i="7" s="1"/>
  <c r="M264" i="7"/>
  <c r="R264" i="7" s="1"/>
  <c r="M101" i="7"/>
  <c r="N101" i="7" s="1"/>
  <c r="M297" i="7"/>
  <c r="R297" i="7" s="1"/>
  <c r="M118" i="7"/>
  <c r="N118" i="7" s="1"/>
  <c r="M170" i="7"/>
  <c r="R170" i="7" s="1"/>
  <c r="M176" i="7"/>
  <c r="N176" i="7" s="1"/>
  <c r="M265" i="7"/>
  <c r="R265" i="7" s="1"/>
  <c r="M92" i="7"/>
  <c r="N92" i="7" s="1"/>
  <c r="M291" i="7"/>
  <c r="N291" i="7" s="1"/>
  <c r="M67" i="7"/>
  <c r="R67" i="7" s="1"/>
  <c r="M180" i="7"/>
  <c r="N180" i="7" s="1"/>
  <c r="M306" i="7"/>
  <c r="R306" i="7" s="1"/>
  <c r="M71" i="7"/>
  <c r="R71" i="7" s="1"/>
  <c r="M269" i="7"/>
  <c r="R269" i="7" s="1"/>
  <c r="M81" i="7"/>
  <c r="N81" i="7" s="1"/>
  <c r="M192" i="7"/>
  <c r="N192" i="7" s="1"/>
  <c r="V4" i="7"/>
  <c r="M30" i="7"/>
  <c r="N30" i="7" s="1"/>
  <c r="M201" i="7"/>
  <c r="N201" i="7" s="1"/>
  <c r="M276" i="7"/>
  <c r="R276" i="7" s="1"/>
  <c r="M160" i="7"/>
  <c r="M236" i="7"/>
  <c r="M304" i="7"/>
  <c r="M242" i="7"/>
  <c r="M138" i="7"/>
  <c r="M243" i="7"/>
  <c r="M202" i="7"/>
  <c r="M289" i="7"/>
  <c r="M218" i="7"/>
  <c r="M286" i="7"/>
  <c r="M73" i="7"/>
  <c r="M223" i="7"/>
  <c r="M287" i="7"/>
  <c r="M199" i="7"/>
  <c r="V14" i="7"/>
  <c r="M302" i="7"/>
  <c r="M268" i="7"/>
  <c r="M235" i="7"/>
  <c r="M293" i="7"/>
  <c r="M324" i="7"/>
  <c r="M280" i="7"/>
  <c r="M182" i="7"/>
  <c r="M37" i="7"/>
  <c r="M114" i="7"/>
  <c r="M212" i="7"/>
  <c r="M23" i="7"/>
  <c r="M93" i="7"/>
  <c r="M217" i="7"/>
  <c r="M89" i="7"/>
  <c r="M301" i="7"/>
  <c r="M210" i="7"/>
  <c r="M204" i="7"/>
  <c r="M87" i="7"/>
  <c r="M311" i="7"/>
  <c r="M94" i="7"/>
  <c r="M34" i="7"/>
  <c r="M83" i="7"/>
  <c r="M313" i="7"/>
  <c r="M40" i="7"/>
  <c r="M159" i="7"/>
  <c r="M305" i="7"/>
  <c r="M106" i="7"/>
  <c r="M167" i="7"/>
  <c r="R192" i="7"/>
  <c r="M33" i="7"/>
  <c r="M334" i="7"/>
  <c r="M111" i="7"/>
  <c r="M295" i="7"/>
  <c r="M321" i="7"/>
  <c r="M195" i="7"/>
  <c r="M154" i="7"/>
  <c r="V18" i="7"/>
  <c r="M203" i="7"/>
  <c r="M224" i="7"/>
  <c r="V16" i="7"/>
  <c r="M272" i="7"/>
  <c r="M225" i="7"/>
  <c r="M222" i="7"/>
  <c r="M91" i="7"/>
  <c r="M232" i="7"/>
  <c r="M181" i="7"/>
  <c r="M32" i="7"/>
  <c r="M110" i="7"/>
  <c r="M78" i="7"/>
  <c r="M278" i="7"/>
  <c r="M285" i="7"/>
  <c r="M88" i="7"/>
  <c r="M31" i="7"/>
  <c r="M188" i="7"/>
  <c r="M151" i="7"/>
  <c r="M60" i="7"/>
  <c r="M74" i="7"/>
  <c r="M240" i="7"/>
  <c r="V11" i="7"/>
  <c r="M338" i="7"/>
  <c r="M246" i="7"/>
  <c r="V2" i="7"/>
  <c r="M314" i="7"/>
  <c r="M132" i="7"/>
  <c r="M161" i="7"/>
  <c r="M213" i="7"/>
  <c r="M79" i="7"/>
  <c r="M90" i="7"/>
  <c r="M316" i="7"/>
  <c r="M341" i="7"/>
  <c r="M227" i="7"/>
  <c r="M253" i="7"/>
  <c r="M165" i="7"/>
  <c r="M141" i="7"/>
  <c r="M207" i="7"/>
  <c r="M72" i="7"/>
  <c r="M102" i="7"/>
  <c r="M96" i="7"/>
  <c r="M340" i="7"/>
  <c r="M128" i="7"/>
  <c r="M150" i="7"/>
  <c r="M326" i="7"/>
  <c r="M262" i="7"/>
  <c r="M220" i="7"/>
  <c r="M178" i="7"/>
  <c r="M282" i="7"/>
  <c r="M193" i="7"/>
  <c r="M130" i="7"/>
  <c r="M24" i="7"/>
  <c r="V17" i="7"/>
  <c r="M259" i="7"/>
  <c r="M52" i="7"/>
  <c r="M113" i="7"/>
  <c r="M260" i="7"/>
  <c r="M245" i="7"/>
  <c r="M275" i="7"/>
  <c r="M62" i="7"/>
  <c r="M200" i="7"/>
  <c r="M43" i="7"/>
  <c r="M308" i="7"/>
  <c r="N72" i="2"/>
  <c r="M57" i="8"/>
  <c r="V13" i="8"/>
  <c r="V15" i="8"/>
  <c r="M85" i="8"/>
  <c r="M100" i="8"/>
  <c r="M54" i="8"/>
  <c r="M80" i="8"/>
  <c r="M48" i="8"/>
  <c r="M89" i="8"/>
  <c r="M26" i="8"/>
  <c r="M104" i="8"/>
  <c r="M36" i="8"/>
  <c r="M43" i="8"/>
  <c r="V8" i="8"/>
  <c r="M52" i="8"/>
  <c r="M45" i="8"/>
  <c r="V18" i="8"/>
  <c r="V19" i="8"/>
  <c r="M51" i="8"/>
  <c r="M99" i="8"/>
  <c r="M70" i="8"/>
  <c r="M30" i="8"/>
  <c r="V2" i="8"/>
  <c r="M23" i="8"/>
  <c r="M41" i="8"/>
  <c r="M38" i="8"/>
  <c r="M84" i="8"/>
  <c r="M44" i="8"/>
  <c r="M69" i="8"/>
  <c r="V21" i="8"/>
  <c r="M72" i="8"/>
  <c r="M88" i="8"/>
  <c r="M90" i="8"/>
  <c r="M73" i="8"/>
  <c r="M53" i="8"/>
  <c r="M94" i="8"/>
  <c r="M21" i="8"/>
  <c r="M102" i="8"/>
  <c r="M33" i="8"/>
  <c r="M62" i="8"/>
  <c r="M28" i="8"/>
  <c r="M37" i="8"/>
  <c r="M79" i="8"/>
  <c r="V3" i="8"/>
  <c r="M93" i="8"/>
  <c r="M68" i="8"/>
  <c r="M22" i="8"/>
  <c r="M59" i="8"/>
  <c r="M101" i="8"/>
  <c r="M42" i="8"/>
  <c r="M58" i="8"/>
  <c r="M32" i="8"/>
  <c r="V5" i="8"/>
  <c r="V10" i="8"/>
  <c r="M78" i="8"/>
  <c r="V20" i="8"/>
  <c r="M74" i="8"/>
  <c r="M60" i="8"/>
  <c r="V4" i="8"/>
  <c r="M97" i="8"/>
  <c r="M61" i="8"/>
  <c r="M29" i="8"/>
  <c r="M77" i="8"/>
  <c r="M56" i="8"/>
  <c r="M95" i="8"/>
  <c r="M39" i="8"/>
  <c r="M31" i="8"/>
  <c r="V11" i="8"/>
  <c r="V14" i="8"/>
  <c r="M83" i="8"/>
  <c r="M40" i="8"/>
  <c r="M98" i="8"/>
  <c r="M76" i="8"/>
  <c r="M35" i="8"/>
  <c r="M47" i="8"/>
  <c r="M50" i="8"/>
  <c r="V12" i="8"/>
  <c r="M25" i="8"/>
  <c r="M82" i="8"/>
  <c r="V17" i="8"/>
  <c r="M75" i="8"/>
  <c r="M55" i="8"/>
  <c r="M66" i="8"/>
  <c r="V9" i="8"/>
  <c r="M91" i="8"/>
  <c r="M92" i="8"/>
  <c r="M63" i="8"/>
  <c r="M64" i="8"/>
  <c r="M71" i="8"/>
  <c r="M49" i="8"/>
  <c r="M65" i="8"/>
  <c r="M67" i="8"/>
  <c r="M103" i="8"/>
  <c r="V16" i="8"/>
  <c r="V6" i="8"/>
  <c r="M46" i="8"/>
  <c r="M81" i="8"/>
  <c r="M87" i="8"/>
  <c r="M34" i="8"/>
  <c r="V7" i="8"/>
  <c r="M27" i="8"/>
  <c r="M24" i="8"/>
  <c r="M86" i="8"/>
  <c r="M96" i="8"/>
  <c r="M45" i="7"/>
  <c r="V5" i="7"/>
  <c r="M183" i="7"/>
  <c r="M214" i="7"/>
  <c r="M107" i="7"/>
  <c r="M59" i="7"/>
  <c r="M233" i="7"/>
  <c r="M63" i="7"/>
  <c r="M190" i="7"/>
  <c r="M283" i="7"/>
  <c r="M55" i="7"/>
  <c r="M196" i="7"/>
  <c r="M331" i="7"/>
  <c r="M328" i="7"/>
  <c r="M84" i="7"/>
  <c r="M257" i="7"/>
  <c r="M162" i="7"/>
  <c r="M157" i="7"/>
  <c r="M244" i="7"/>
  <c r="M41" i="7"/>
  <c r="M189" i="7"/>
  <c r="M221" i="7"/>
  <c r="M197" i="7"/>
  <c r="M228" i="7"/>
  <c r="M85" i="7"/>
  <c r="M342" i="7"/>
  <c r="M117" i="7"/>
  <c r="M288" i="7"/>
  <c r="M208" i="7"/>
  <c r="V3" i="7"/>
  <c r="M129" i="7"/>
  <c r="M258" i="7"/>
  <c r="M281" i="7"/>
  <c r="M112" i="7"/>
  <c r="M184" i="7"/>
  <c r="M39" i="7"/>
  <c r="M299" i="7"/>
  <c r="M65" i="7"/>
  <c r="M337" i="7"/>
  <c r="M51" i="7"/>
  <c r="M144" i="7"/>
  <c r="M139" i="7"/>
  <c r="N56" i="2"/>
  <c r="R56" i="2"/>
  <c r="R69" i="2"/>
  <c r="M36" i="7"/>
  <c r="M266" i="7"/>
  <c r="M26" i="7"/>
  <c r="V9" i="7"/>
  <c r="M248" i="7"/>
  <c r="M145" i="7"/>
  <c r="M105" i="7"/>
  <c r="M238" i="7"/>
  <c r="M300" i="7"/>
  <c r="M42" i="7"/>
  <c r="M320" i="7"/>
  <c r="M50" i="7"/>
  <c r="M198" i="7"/>
  <c r="M339" i="7"/>
  <c r="M158" i="7"/>
  <c r="M97" i="7"/>
  <c r="M131" i="7"/>
  <c r="M173" i="7"/>
  <c r="M209" i="7"/>
  <c r="M143" i="7"/>
  <c r="M133" i="7"/>
  <c r="M163" i="7"/>
  <c r="M66" i="7"/>
  <c r="M177" i="7"/>
  <c r="V15" i="7"/>
  <c r="M335" i="7"/>
  <c r="M205" i="7"/>
  <c r="M325" i="7"/>
  <c r="M249" i="7"/>
  <c r="M336" i="7"/>
  <c r="M185" i="7"/>
  <c r="M119" i="7"/>
  <c r="M226" i="7"/>
  <c r="M147" i="7"/>
  <c r="M140" i="7"/>
  <c r="M330" i="7"/>
  <c r="M57" i="7"/>
  <c r="M206" i="7"/>
  <c r="M109" i="7"/>
  <c r="M251" i="7"/>
  <c r="M317" i="7"/>
  <c r="M273" i="7"/>
  <c r="N86" i="2"/>
  <c r="R86" i="2"/>
  <c r="R83" i="2"/>
  <c r="N83" i="2"/>
  <c r="N29" i="2"/>
  <c r="M75" i="7"/>
  <c r="M186" i="7"/>
  <c r="M318" i="7"/>
  <c r="V12" i="7"/>
  <c r="M219" i="7"/>
  <c r="M148" i="7"/>
  <c r="M120" i="7"/>
  <c r="M315" i="7"/>
  <c r="M164" i="7"/>
  <c r="M153" i="7"/>
  <c r="M122" i="7"/>
  <c r="M247" i="7"/>
  <c r="M103" i="7"/>
  <c r="M215" i="7"/>
  <c r="V8" i="7"/>
  <c r="M38" i="7"/>
  <c r="M29" i="7"/>
  <c r="M135" i="7"/>
  <c r="M86" i="7"/>
  <c r="M239" i="7"/>
  <c r="V7" i="7"/>
  <c r="M44" i="7"/>
  <c r="M98" i="7"/>
  <c r="M303" i="7"/>
  <c r="M69" i="7"/>
  <c r="M68" i="7"/>
  <c r="M263" i="7"/>
  <c r="M250" i="7"/>
  <c r="M332" i="7"/>
  <c r="M174" i="7"/>
  <c r="M234" i="7"/>
  <c r="M298" i="7"/>
  <c r="M47" i="7"/>
  <c r="V10" i="7"/>
  <c r="M169" i="7"/>
  <c r="M127" i="7"/>
  <c r="M70" i="7"/>
  <c r="M53" i="7"/>
  <c r="M211" i="7"/>
  <c r="M152" i="7"/>
  <c r="M25" i="7"/>
  <c r="M252" i="7"/>
  <c r="R39" i="2"/>
  <c r="N39" i="2"/>
  <c r="R58" i="2"/>
  <c r="N58" i="2"/>
  <c r="N81" i="2"/>
  <c r="M216" i="7"/>
  <c r="M115" i="7"/>
  <c r="M271" i="7"/>
  <c r="M292" i="7"/>
  <c r="M294" i="7"/>
  <c r="M155" i="7"/>
  <c r="M261" i="7"/>
  <c r="M256" i="7"/>
  <c r="M279" i="7"/>
  <c r="M134" i="7"/>
  <c r="M100" i="7"/>
  <c r="M22" i="7"/>
  <c r="M241" i="7"/>
  <c r="M124" i="7"/>
  <c r="M284" i="7"/>
  <c r="M76" i="7"/>
  <c r="M191" i="7"/>
  <c r="M99" i="7"/>
  <c r="M255" i="7"/>
  <c r="M104" i="7"/>
  <c r="M137" i="7"/>
  <c r="M310" i="7"/>
  <c r="M80" i="7"/>
  <c r="M95" i="7"/>
  <c r="M172" i="7"/>
  <c r="M322" i="7"/>
  <c r="M82" i="7"/>
  <c r="M21" i="7"/>
  <c r="M277" i="7"/>
  <c r="M146" i="7"/>
  <c r="M187" i="7"/>
  <c r="M327" i="7"/>
  <c r="M61" i="7"/>
  <c r="M125" i="7"/>
  <c r="M171" i="7"/>
  <c r="M312" i="7"/>
  <c r="M49" i="7"/>
  <c r="V13" i="7"/>
  <c r="M121" i="7"/>
  <c r="M319" i="7"/>
  <c r="M126" i="7"/>
  <c r="M254" i="7"/>
  <c r="M77" i="7"/>
  <c r="R82" i="2"/>
  <c r="N82" i="2"/>
  <c r="N33" i="2"/>
  <c r="R33" i="2"/>
  <c r="R88" i="2"/>
  <c r="N88" i="2"/>
  <c r="R25" i="2"/>
  <c r="N25" i="2"/>
  <c r="R70" i="2"/>
  <c r="N70" i="2"/>
  <c r="N71" i="2" l="1"/>
  <c r="N43" i="2"/>
  <c r="N73" i="2"/>
  <c r="N22" i="2"/>
  <c r="N87" i="2"/>
  <c r="R59" i="2"/>
  <c r="R85" i="2"/>
  <c r="R101" i="7"/>
  <c r="R74" i="2"/>
  <c r="R61" i="2"/>
  <c r="N91" i="2"/>
  <c r="R44" i="2"/>
  <c r="R49" i="2"/>
  <c r="R50" i="2"/>
  <c r="N76" i="2"/>
  <c r="R31" i="2"/>
  <c r="N71" i="7"/>
  <c r="R296" i="7"/>
  <c r="N290" i="7"/>
  <c r="N54" i="2"/>
  <c r="N309" i="7"/>
  <c r="N64" i="2"/>
  <c r="R274" i="7"/>
  <c r="R116" i="7"/>
  <c r="R176" i="7"/>
  <c r="N38" i="2"/>
  <c r="N26" i="2"/>
  <c r="R47" i="2"/>
  <c r="R75" i="2"/>
  <c r="R52" i="2"/>
  <c r="N35" i="2"/>
  <c r="N46" i="7"/>
  <c r="N48" i="7"/>
  <c r="N28" i="7"/>
  <c r="N170" i="7"/>
  <c r="N35" i="7"/>
  <c r="N79" i="2"/>
  <c r="N142" i="7"/>
  <c r="R21" i="2"/>
  <c r="N28" i="2"/>
  <c r="R62" i="2"/>
  <c r="R78" i="2"/>
  <c r="R89" i="2"/>
  <c r="N45" i="2"/>
  <c r="R194" i="7"/>
  <c r="R60" i="2"/>
  <c r="N36" i="2"/>
  <c r="R48" i="2"/>
  <c r="N24" i="2"/>
  <c r="R230" i="7"/>
  <c r="R80" i="2"/>
  <c r="R46" i="2"/>
  <c r="N30" i="2"/>
  <c r="N64" i="7"/>
  <c r="N269" i="7"/>
  <c r="R175" i="7"/>
  <c r="R67" i="2"/>
  <c r="N23" i="2"/>
  <c r="R41" i="2"/>
  <c r="N264" i="7"/>
  <c r="R231" i="7"/>
  <c r="R92" i="7"/>
  <c r="N66" i="2"/>
  <c r="N42" i="2"/>
  <c r="R307" i="7"/>
  <c r="N55" i="2"/>
  <c r="N40" i="2"/>
  <c r="N179" i="7"/>
  <c r="R34" i="2"/>
  <c r="R329" i="7"/>
  <c r="R68" i="2"/>
  <c r="R27" i="2"/>
  <c r="R123" i="7"/>
  <c r="N32" i="2"/>
  <c r="R65" i="2"/>
  <c r="R90" i="2"/>
  <c r="N229" i="7"/>
  <c r="N57" i="2"/>
  <c r="R27" i="7"/>
  <c r="R84" i="2"/>
  <c r="R51" i="2"/>
  <c r="R180" i="7"/>
  <c r="N53" i="2"/>
  <c r="N166" i="7"/>
  <c r="N67" i="7"/>
  <c r="R30" i="7"/>
  <c r="N270" i="7"/>
  <c r="R56" i="7"/>
  <c r="R156" i="7"/>
  <c r="R63" i="2"/>
  <c r="R168" i="7"/>
  <c r="N37" i="2"/>
  <c r="N77" i="2"/>
  <c r="R81" i="7"/>
  <c r="N267" i="7"/>
  <c r="R333" i="7"/>
  <c r="R54" i="7"/>
  <c r="R58" i="7"/>
  <c r="N265" i="7"/>
  <c r="R149" i="7"/>
  <c r="R237" i="7"/>
  <c r="R201" i="7"/>
  <c r="N323" i="7"/>
  <c r="N108" i="7"/>
  <c r="R136" i="7"/>
  <c r="N276" i="7"/>
  <c r="R291" i="7"/>
  <c r="N306" i="7"/>
  <c r="R118" i="7"/>
  <c r="N297" i="7"/>
  <c r="N95" i="7"/>
  <c r="R95" i="7"/>
  <c r="N256" i="7"/>
  <c r="R256" i="7"/>
  <c r="R127" i="7"/>
  <c r="N127" i="7"/>
  <c r="N250" i="7"/>
  <c r="R250" i="7"/>
  <c r="N239" i="7"/>
  <c r="R239" i="7"/>
  <c r="N247" i="7"/>
  <c r="R247" i="7"/>
  <c r="N273" i="7"/>
  <c r="R273" i="7"/>
  <c r="N147" i="7"/>
  <c r="R147" i="7"/>
  <c r="N335" i="7"/>
  <c r="R335" i="7"/>
  <c r="N173" i="7"/>
  <c r="R173" i="7"/>
  <c r="N42" i="7"/>
  <c r="R42" i="7"/>
  <c r="N266" i="7"/>
  <c r="R266" i="7"/>
  <c r="N65" i="7"/>
  <c r="R65" i="7"/>
  <c r="R221" i="7"/>
  <c r="N221" i="7"/>
  <c r="N328" i="7"/>
  <c r="R328" i="7"/>
  <c r="N59" i="7"/>
  <c r="R59" i="7"/>
  <c r="R24" i="8"/>
  <c r="N24" i="8"/>
  <c r="N92" i="8"/>
  <c r="R92" i="8"/>
  <c r="R25" i="8"/>
  <c r="N25" i="8"/>
  <c r="R83" i="8"/>
  <c r="N83" i="8"/>
  <c r="R29" i="8"/>
  <c r="N29" i="8"/>
  <c r="N68" i="8"/>
  <c r="R68" i="8"/>
  <c r="R102" i="8"/>
  <c r="N102" i="8"/>
  <c r="N30" i="8"/>
  <c r="R30" i="8"/>
  <c r="R54" i="8"/>
  <c r="N54" i="8"/>
  <c r="N308" i="7"/>
  <c r="R308" i="7"/>
  <c r="R52" i="7"/>
  <c r="N52" i="7"/>
  <c r="R220" i="7"/>
  <c r="N220" i="7"/>
  <c r="N72" i="7"/>
  <c r="R72" i="7"/>
  <c r="R90" i="7"/>
  <c r="N90" i="7"/>
  <c r="R338" i="7"/>
  <c r="N338" i="7"/>
  <c r="N88" i="7"/>
  <c r="R88" i="7"/>
  <c r="R91" i="7"/>
  <c r="N91" i="7"/>
  <c r="R154" i="7"/>
  <c r="N154" i="7"/>
  <c r="R159" i="7"/>
  <c r="N159" i="7"/>
  <c r="R204" i="7"/>
  <c r="N204" i="7"/>
  <c r="R114" i="7"/>
  <c r="N114" i="7"/>
  <c r="R302" i="7"/>
  <c r="N302" i="7"/>
  <c r="N289" i="7"/>
  <c r="R289" i="7"/>
  <c r="N327" i="7"/>
  <c r="R327" i="7"/>
  <c r="R121" i="7"/>
  <c r="N121" i="7"/>
  <c r="R80" i="7"/>
  <c r="N80" i="7"/>
  <c r="N284" i="7"/>
  <c r="R284" i="7"/>
  <c r="R261" i="7"/>
  <c r="N261" i="7"/>
  <c r="R169" i="7"/>
  <c r="N169" i="7"/>
  <c r="R263" i="7"/>
  <c r="N263" i="7"/>
  <c r="N86" i="7"/>
  <c r="R86" i="7"/>
  <c r="N122" i="7"/>
  <c r="R122" i="7"/>
  <c r="N318" i="7"/>
  <c r="R318" i="7"/>
  <c r="N317" i="7"/>
  <c r="R317" i="7"/>
  <c r="N226" i="7"/>
  <c r="R226" i="7"/>
  <c r="R131" i="7"/>
  <c r="N131" i="7"/>
  <c r="N300" i="7"/>
  <c r="R300" i="7"/>
  <c r="N36" i="7"/>
  <c r="R36" i="7"/>
  <c r="R299" i="7"/>
  <c r="N299" i="7"/>
  <c r="N208" i="7"/>
  <c r="R208" i="7"/>
  <c r="R189" i="7"/>
  <c r="N189" i="7"/>
  <c r="R331" i="7"/>
  <c r="N331" i="7"/>
  <c r="R107" i="7"/>
  <c r="N107" i="7"/>
  <c r="N27" i="8"/>
  <c r="R27" i="8"/>
  <c r="R103" i="8"/>
  <c r="N103" i="8"/>
  <c r="N91" i="8"/>
  <c r="R91" i="8"/>
  <c r="N61" i="8"/>
  <c r="R61" i="8"/>
  <c r="R93" i="8"/>
  <c r="N93" i="8"/>
  <c r="N21" i="8"/>
  <c r="R21" i="8"/>
  <c r="N69" i="8"/>
  <c r="R69" i="8"/>
  <c r="R70" i="8"/>
  <c r="N70" i="8"/>
  <c r="N43" i="8"/>
  <c r="R43" i="8"/>
  <c r="N100" i="8"/>
  <c r="R100" i="8"/>
  <c r="N43" i="7"/>
  <c r="R43" i="7"/>
  <c r="N259" i="7"/>
  <c r="R259" i="7"/>
  <c r="N262" i="7"/>
  <c r="R262" i="7"/>
  <c r="N207" i="7"/>
  <c r="R207" i="7"/>
  <c r="R79" i="7"/>
  <c r="N79" i="7"/>
  <c r="R285" i="7"/>
  <c r="N285" i="7"/>
  <c r="N222" i="7"/>
  <c r="R222" i="7"/>
  <c r="R195" i="7"/>
  <c r="N195" i="7"/>
  <c r="R40" i="7"/>
  <c r="N40" i="7"/>
  <c r="R210" i="7"/>
  <c r="N210" i="7"/>
  <c r="N37" i="7"/>
  <c r="R37" i="7"/>
  <c r="R202" i="7"/>
  <c r="N202" i="7"/>
  <c r="R319" i="7"/>
  <c r="N319" i="7"/>
  <c r="R76" i="7"/>
  <c r="N76" i="7"/>
  <c r="N187" i="7"/>
  <c r="R187" i="7"/>
  <c r="R146" i="7"/>
  <c r="N146" i="7"/>
  <c r="N310" i="7"/>
  <c r="R310" i="7"/>
  <c r="R124" i="7"/>
  <c r="N124" i="7"/>
  <c r="N155" i="7"/>
  <c r="R155" i="7"/>
  <c r="R252" i="7"/>
  <c r="N252" i="7"/>
  <c r="R68" i="7"/>
  <c r="N68" i="7"/>
  <c r="N135" i="7"/>
  <c r="R135" i="7"/>
  <c r="N153" i="7"/>
  <c r="R153" i="7"/>
  <c r="R186" i="7"/>
  <c r="N186" i="7"/>
  <c r="N251" i="7"/>
  <c r="R251" i="7"/>
  <c r="R119" i="7"/>
  <c r="N119" i="7"/>
  <c r="N177" i="7"/>
  <c r="R177" i="7"/>
  <c r="N97" i="7"/>
  <c r="R97" i="7"/>
  <c r="N238" i="7"/>
  <c r="R238" i="7"/>
  <c r="N39" i="7"/>
  <c r="R39" i="7"/>
  <c r="N288" i="7"/>
  <c r="R288" i="7"/>
  <c r="R41" i="7"/>
  <c r="N41" i="7"/>
  <c r="N196" i="7"/>
  <c r="R196" i="7"/>
  <c r="N214" i="7"/>
  <c r="R214" i="7"/>
  <c r="R67" i="8"/>
  <c r="N67" i="8"/>
  <c r="N50" i="8"/>
  <c r="R50" i="8"/>
  <c r="R97" i="8"/>
  <c r="N97" i="8"/>
  <c r="N32" i="8"/>
  <c r="R32" i="8"/>
  <c r="R94" i="8"/>
  <c r="N94" i="8"/>
  <c r="N44" i="8"/>
  <c r="R44" i="8"/>
  <c r="R99" i="8"/>
  <c r="N99" i="8"/>
  <c r="N36" i="8"/>
  <c r="R36" i="8"/>
  <c r="R85" i="8"/>
  <c r="N85" i="8"/>
  <c r="R200" i="7"/>
  <c r="N200" i="7"/>
  <c r="R326" i="7"/>
  <c r="N326" i="7"/>
  <c r="R141" i="7"/>
  <c r="N141" i="7"/>
  <c r="R213" i="7"/>
  <c r="N213" i="7"/>
  <c r="R240" i="7"/>
  <c r="N240" i="7"/>
  <c r="R278" i="7"/>
  <c r="N278" i="7"/>
  <c r="N225" i="7"/>
  <c r="R225" i="7"/>
  <c r="N321" i="7"/>
  <c r="R321" i="7"/>
  <c r="N313" i="7"/>
  <c r="R313" i="7"/>
  <c r="R301" i="7"/>
  <c r="N301" i="7"/>
  <c r="N182" i="7"/>
  <c r="R182" i="7"/>
  <c r="R199" i="7"/>
  <c r="N199" i="7"/>
  <c r="R243" i="7"/>
  <c r="N243" i="7"/>
  <c r="N49" i="7"/>
  <c r="R49" i="7"/>
  <c r="N241" i="7"/>
  <c r="R241" i="7"/>
  <c r="R294" i="7"/>
  <c r="N294" i="7"/>
  <c r="R25" i="7"/>
  <c r="N25" i="7"/>
  <c r="R47" i="7"/>
  <c r="N47" i="7"/>
  <c r="R69" i="7"/>
  <c r="N69" i="7"/>
  <c r="N29" i="7"/>
  <c r="R29" i="7"/>
  <c r="R164" i="7"/>
  <c r="N164" i="7"/>
  <c r="N75" i="7"/>
  <c r="R75" i="7"/>
  <c r="R109" i="7"/>
  <c r="N109" i="7"/>
  <c r="N185" i="7"/>
  <c r="R185" i="7"/>
  <c r="N66" i="7"/>
  <c r="R66" i="7"/>
  <c r="R158" i="7"/>
  <c r="N158" i="7"/>
  <c r="R105" i="7"/>
  <c r="N105" i="7"/>
  <c r="R184" i="7"/>
  <c r="N184" i="7"/>
  <c r="R117" i="7"/>
  <c r="N117" i="7"/>
  <c r="R244" i="7"/>
  <c r="N244" i="7"/>
  <c r="R55" i="7"/>
  <c r="N55" i="7"/>
  <c r="R183" i="7"/>
  <c r="N183" i="7"/>
  <c r="N34" i="8"/>
  <c r="R34" i="8"/>
  <c r="N65" i="8"/>
  <c r="R65" i="8"/>
  <c r="R66" i="8"/>
  <c r="N66" i="8"/>
  <c r="R47" i="8"/>
  <c r="N47" i="8"/>
  <c r="N31" i="8"/>
  <c r="R31" i="8"/>
  <c r="N58" i="8"/>
  <c r="R58" i="8"/>
  <c r="R79" i="8"/>
  <c r="N79" i="8"/>
  <c r="N53" i="8"/>
  <c r="R53" i="8"/>
  <c r="N84" i="8"/>
  <c r="R84" i="8"/>
  <c r="N51" i="8"/>
  <c r="R51" i="8"/>
  <c r="N104" i="8"/>
  <c r="R104" i="8"/>
  <c r="N62" i="7"/>
  <c r="R62" i="7"/>
  <c r="N24" i="7"/>
  <c r="R24" i="7"/>
  <c r="N150" i="7"/>
  <c r="R150" i="7"/>
  <c r="R165" i="7"/>
  <c r="N165" i="7"/>
  <c r="N161" i="7"/>
  <c r="R161" i="7"/>
  <c r="N74" i="7"/>
  <c r="R74" i="7"/>
  <c r="R78" i="7"/>
  <c r="N78" i="7"/>
  <c r="N272" i="7"/>
  <c r="R272" i="7"/>
  <c r="N295" i="7"/>
  <c r="R295" i="7"/>
  <c r="N83" i="7"/>
  <c r="R83" i="7"/>
  <c r="N89" i="7"/>
  <c r="R89" i="7"/>
  <c r="R280" i="7"/>
  <c r="N280" i="7"/>
  <c r="N287" i="7"/>
  <c r="R287" i="7"/>
  <c r="R138" i="7"/>
  <c r="N138" i="7"/>
  <c r="R277" i="7"/>
  <c r="N277" i="7"/>
  <c r="R312" i="7"/>
  <c r="N312" i="7"/>
  <c r="N104" i="7"/>
  <c r="R104" i="7"/>
  <c r="N22" i="7"/>
  <c r="R22" i="7"/>
  <c r="R292" i="7"/>
  <c r="N292" i="7"/>
  <c r="N152" i="7"/>
  <c r="R152" i="7"/>
  <c r="N298" i="7"/>
  <c r="R298" i="7"/>
  <c r="N303" i="7"/>
  <c r="R303" i="7"/>
  <c r="N38" i="7"/>
  <c r="R38" i="7"/>
  <c r="R315" i="7"/>
  <c r="N315" i="7"/>
  <c r="R206" i="7"/>
  <c r="N206" i="7"/>
  <c r="R336" i="7"/>
  <c r="N336" i="7"/>
  <c r="R163" i="7"/>
  <c r="N163" i="7"/>
  <c r="N339" i="7"/>
  <c r="R339" i="7"/>
  <c r="N145" i="7"/>
  <c r="R145" i="7"/>
  <c r="R139" i="7"/>
  <c r="N139" i="7"/>
  <c r="R112" i="7"/>
  <c r="N112" i="7"/>
  <c r="R342" i="7"/>
  <c r="N342" i="7"/>
  <c r="R157" i="7"/>
  <c r="N157" i="7"/>
  <c r="N283" i="7"/>
  <c r="R283" i="7"/>
  <c r="R87" i="8"/>
  <c r="N87" i="8"/>
  <c r="R49" i="8"/>
  <c r="N49" i="8"/>
  <c r="N55" i="8"/>
  <c r="R55" i="8"/>
  <c r="N35" i="8"/>
  <c r="R35" i="8"/>
  <c r="R39" i="8"/>
  <c r="N39" i="8"/>
  <c r="N60" i="8"/>
  <c r="R60" i="8"/>
  <c r="N42" i="8"/>
  <c r="R42" i="8"/>
  <c r="N37" i="8"/>
  <c r="R37" i="8"/>
  <c r="N73" i="8"/>
  <c r="R73" i="8"/>
  <c r="N38" i="8"/>
  <c r="R38" i="8"/>
  <c r="R26" i="8"/>
  <c r="N26" i="8"/>
  <c r="N275" i="7"/>
  <c r="R275" i="7"/>
  <c r="R130" i="7"/>
  <c r="N130" i="7"/>
  <c r="N128" i="7"/>
  <c r="R128" i="7"/>
  <c r="R253" i="7"/>
  <c r="N253" i="7"/>
  <c r="R132" i="7"/>
  <c r="N132" i="7"/>
  <c r="R60" i="7"/>
  <c r="N60" i="7"/>
  <c r="R110" i="7"/>
  <c r="N110" i="7"/>
  <c r="N111" i="7"/>
  <c r="R111" i="7"/>
  <c r="N34" i="7"/>
  <c r="R34" i="7"/>
  <c r="N217" i="7"/>
  <c r="R217" i="7"/>
  <c r="N324" i="7"/>
  <c r="R324" i="7"/>
  <c r="N223" i="7"/>
  <c r="R223" i="7"/>
  <c r="N242" i="7"/>
  <c r="R242" i="7"/>
  <c r="R137" i="7"/>
  <c r="N137" i="7"/>
  <c r="R21" i="7"/>
  <c r="N21" i="7"/>
  <c r="R77" i="7"/>
  <c r="N77" i="7"/>
  <c r="R171" i="7"/>
  <c r="N171" i="7"/>
  <c r="R82" i="7"/>
  <c r="N82" i="7"/>
  <c r="N255" i="7"/>
  <c r="R255" i="7"/>
  <c r="N100" i="7"/>
  <c r="R100" i="7"/>
  <c r="R271" i="7"/>
  <c r="N271" i="7"/>
  <c r="R211" i="7"/>
  <c r="N211" i="7"/>
  <c r="N234" i="7"/>
  <c r="R234" i="7"/>
  <c r="R98" i="7"/>
  <c r="N98" i="7"/>
  <c r="N120" i="7"/>
  <c r="R120" i="7"/>
  <c r="R57" i="7"/>
  <c r="N57" i="7"/>
  <c r="R249" i="7"/>
  <c r="N249" i="7"/>
  <c r="R133" i="7"/>
  <c r="N133" i="7"/>
  <c r="N198" i="7"/>
  <c r="R198" i="7"/>
  <c r="R248" i="7"/>
  <c r="N248" i="7"/>
  <c r="N144" i="7"/>
  <c r="R144" i="7"/>
  <c r="R281" i="7"/>
  <c r="N281" i="7"/>
  <c r="R85" i="7"/>
  <c r="N85" i="7"/>
  <c r="R162" i="7"/>
  <c r="N162" i="7"/>
  <c r="R190" i="7"/>
  <c r="N190" i="7"/>
  <c r="R45" i="7"/>
  <c r="N45" i="7"/>
  <c r="N81" i="8"/>
  <c r="R81" i="8"/>
  <c r="N71" i="8"/>
  <c r="R71" i="8"/>
  <c r="R75" i="8"/>
  <c r="N75" i="8"/>
  <c r="R76" i="8"/>
  <c r="N76" i="8"/>
  <c r="R95" i="8"/>
  <c r="N95" i="8"/>
  <c r="N74" i="8"/>
  <c r="R74" i="8"/>
  <c r="N101" i="8"/>
  <c r="R101" i="8"/>
  <c r="N28" i="8"/>
  <c r="R28" i="8"/>
  <c r="R90" i="8"/>
  <c r="N90" i="8"/>
  <c r="N41" i="8"/>
  <c r="R41" i="8"/>
  <c r="R89" i="8"/>
  <c r="N89" i="8"/>
  <c r="R57" i="8"/>
  <c r="N57" i="8"/>
  <c r="R245" i="7"/>
  <c r="N245" i="7"/>
  <c r="R193" i="7"/>
  <c r="N193" i="7"/>
  <c r="N340" i="7"/>
  <c r="R340" i="7"/>
  <c r="N227" i="7"/>
  <c r="R227" i="7"/>
  <c r="N314" i="7"/>
  <c r="R314" i="7"/>
  <c r="N151" i="7"/>
  <c r="R151" i="7"/>
  <c r="N32" i="7"/>
  <c r="R32" i="7"/>
  <c r="N224" i="7"/>
  <c r="R224" i="7"/>
  <c r="R334" i="7"/>
  <c r="N334" i="7"/>
  <c r="R167" i="7"/>
  <c r="N167" i="7"/>
  <c r="N94" i="7"/>
  <c r="R94" i="7"/>
  <c r="N93" i="7"/>
  <c r="R93" i="7"/>
  <c r="R293" i="7"/>
  <c r="N293" i="7"/>
  <c r="N73" i="7"/>
  <c r="R73" i="7"/>
  <c r="R304" i="7"/>
  <c r="N304" i="7"/>
  <c r="N254" i="7"/>
  <c r="R254" i="7"/>
  <c r="N125" i="7"/>
  <c r="R125" i="7"/>
  <c r="R322" i="7"/>
  <c r="N322" i="7"/>
  <c r="R99" i="7"/>
  <c r="N99" i="7"/>
  <c r="N134" i="7"/>
  <c r="R134" i="7"/>
  <c r="N115" i="7"/>
  <c r="R115" i="7"/>
  <c r="N53" i="7"/>
  <c r="R53" i="7"/>
  <c r="R174" i="7"/>
  <c r="N174" i="7"/>
  <c r="N44" i="7"/>
  <c r="R44" i="7"/>
  <c r="R215" i="7"/>
  <c r="N215" i="7"/>
  <c r="N148" i="7"/>
  <c r="R148" i="7"/>
  <c r="N330" i="7"/>
  <c r="R330" i="7"/>
  <c r="N325" i="7"/>
  <c r="R325" i="7"/>
  <c r="N143" i="7"/>
  <c r="R143" i="7"/>
  <c r="R50" i="7"/>
  <c r="N50" i="7"/>
  <c r="N51" i="7"/>
  <c r="R51" i="7"/>
  <c r="R258" i="7"/>
  <c r="N258" i="7"/>
  <c r="N228" i="7"/>
  <c r="R228" i="7"/>
  <c r="N257" i="7"/>
  <c r="R257" i="7"/>
  <c r="N63" i="7"/>
  <c r="R63" i="7"/>
  <c r="R96" i="8"/>
  <c r="N96" i="8"/>
  <c r="R46" i="8"/>
  <c r="N46" i="8"/>
  <c r="N64" i="8"/>
  <c r="R64" i="8"/>
  <c r="N98" i="8"/>
  <c r="R98" i="8"/>
  <c r="R56" i="8"/>
  <c r="N56" i="8"/>
  <c r="R59" i="8"/>
  <c r="N59" i="8"/>
  <c r="N62" i="8"/>
  <c r="R62" i="8"/>
  <c r="N88" i="8"/>
  <c r="R88" i="8"/>
  <c r="R23" i="8"/>
  <c r="N23" i="8"/>
  <c r="N45" i="8"/>
  <c r="R45" i="8"/>
  <c r="N48" i="8"/>
  <c r="R48" i="8"/>
  <c r="R260" i="7"/>
  <c r="N260" i="7"/>
  <c r="N282" i="7"/>
  <c r="R282" i="7"/>
  <c r="N96" i="7"/>
  <c r="R96" i="7"/>
  <c r="R341" i="7"/>
  <c r="N341" i="7"/>
  <c r="R188" i="7"/>
  <c r="N188" i="7"/>
  <c r="R181" i="7"/>
  <c r="N181" i="7"/>
  <c r="R203" i="7"/>
  <c r="N203" i="7"/>
  <c r="R33" i="7"/>
  <c r="N33" i="7"/>
  <c r="R106" i="7"/>
  <c r="N106" i="7"/>
  <c r="R311" i="7"/>
  <c r="N311" i="7"/>
  <c r="R23" i="7"/>
  <c r="N23" i="7"/>
  <c r="R235" i="7"/>
  <c r="N235" i="7"/>
  <c r="R286" i="7"/>
  <c r="N286" i="7"/>
  <c r="N236" i="7"/>
  <c r="R236" i="7"/>
  <c r="R126" i="7"/>
  <c r="N126" i="7"/>
  <c r="N61" i="7"/>
  <c r="R61" i="7"/>
  <c r="N172" i="7"/>
  <c r="R172" i="7"/>
  <c r="N191" i="7"/>
  <c r="R191" i="7"/>
  <c r="R279" i="7"/>
  <c r="N279" i="7"/>
  <c r="R216" i="7"/>
  <c r="N216" i="7"/>
  <c r="N70" i="7"/>
  <c r="R70" i="7"/>
  <c r="N332" i="7"/>
  <c r="R332" i="7"/>
  <c r="R103" i="7"/>
  <c r="N103" i="7"/>
  <c r="N219" i="7"/>
  <c r="R219" i="7"/>
  <c r="N140" i="7"/>
  <c r="R140" i="7"/>
  <c r="R205" i="7"/>
  <c r="N205" i="7"/>
  <c r="R209" i="7"/>
  <c r="N209" i="7"/>
  <c r="R320" i="7"/>
  <c r="N320" i="7"/>
  <c r="N26" i="7"/>
  <c r="R26" i="7"/>
  <c r="R337" i="7"/>
  <c r="N337" i="7"/>
  <c r="R129" i="7"/>
  <c r="N129" i="7"/>
  <c r="N197" i="7"/>
  <c r="R197" i="7"/>
  <c r="R84" i="7"/>
  <c r="N84" i="7"/>
  <c r="N233" i="7"/>
  <c r="R233" i="7"/>
  <c r="R86" i="8"/>
  <c r="N86" i="8"/>
  <c r="N63" i="8"/>
  <c r="R63" i="8"/>
  <c r="N82" i="8"/>
  <c r="R82" i="8"/>
  <c r="R40" i="8"/>
  <c r="N40" i="8"/>
  <c r="N77" i="8"/>
  <c r="R77" i="8"/>
  <c r="N78" i="8"/>
  <c r="R78" i="8"/>
  <c r="N22" i="8"/>
  <c r="R22" i="8"/>
  <c r="R33" i="8"/>
  <c r="N33" i="8"/>
  <c r="N72" i="8"/>
  <c r="R72" i="8"/>
  <c r="R52" i="8"/>
  <c r="N52" i="8"/>
  <c r="R80" i="8"/>
  <c r="N80" i="8"/>
  <c r="N113" i="7"/>
  <c r="R113" i="7"/>
  <c r="R178" i="7"/>
  <c r="N178" i="7"/>
  <c r="N102" i="7"/>
  <c r="R102" i="7"/>
  <c r="N316" i="7"/>
  <c r="R316" i="7"/>
  <c r="N246" i="7"/>
  <c r="R246" i="7"/>
  <c r="N31" i="7"/>
  <c r="R31" i="7"/>
  <c r="R232" i="7"/>
  <c r="N232" i="7"/>
  <c r="R305" i="7"/>
  <c r="N305" i="7"/>
  <c r="R87" i="7"/>
  <c r="N87" i="7"/>
  <c r="N212" i="7"/>
  <c r="R212" i="7"/>
  <c r="R268" i="7"/>
  <c r="N268" i="7"/>
  <c r="R218" i="7"/>
  <c r="N218" i="7"/>
  <c r="N160" i="7"/>
  <c r="R160" i="7"/>
  <c r="N18" i="8"/>
  <c r="N18" i="2"/>
  <c r="N18" i="7"/>
  <c r="E7" i="2" l="1"/>
  <c r="F4" i="2" s="1"/>
  <c r="H4" i="2" s="1"/>
  <c r="E7" i="7"/>
  <c r="E7" i="8"/>
  <c r="F5" i="2" l="1"/>
  <c r="H5" i="2" s="1"/>
  <c r="F6" i="2"/>
  <c r="H6" i="2" s="1"/>
  <c r="F9" i="2" s="1"/>
  <c r="F10" i="2" s="1"/>
  <c r="F4" i="7"/>
  <c r="H4" i="7" s="1"/>
  <c r="F6" i="7"/>
  <c r="H6" i="7" s="1"/>
  <c r="F9" i="7" s="1"/>
  <c r="F5" i="7"/>
  <c r="H5" i="7" s="1"/>
  <c r="F4" i="8"/>
  <c r="H4" i="8" s="1"/>
  <c r="F5" i="8"/>
  <c r="H5" i="8" s="1"/>
  <c r="F6" i="8"/>
  <c r="H6" i="8" s="1"/>
  <c r="F9" i="8" s="1"/>
  <c r="F10" i="8" s="1"/>
  <c r="F8" i="8"/>
  <c r="F8" i="2"/>
  <c r="F8" i="7"/>
  <c r="G9" i="8" l="1"/>
  <c r="G9" i="2"/>
  <c r="G9" i="7"/>
</calcChain>
</file>

<file path=xl/sharedStrings.xml><?xml version="1.0" encoding="utf-8"?>
<sst xmlns="http://schemas.openxmlformats.org/spreadsheetml/2006/main" count="2371" uniqueCount="444">
  <si>
    <t>JAVSO..47..105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</si>
  <si>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</si>
  <si>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</si>
  <si>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</si>
  <si>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</si>
  <si>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</si>
  <si>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</si>
  <si>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</si>
  <si>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</si>
  <si>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</si>
  <si>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</si>
  <si>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</si>
  <si>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</si>
  <si>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</si>
  <si>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</si>
  <si>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</si>
  <si>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</si>
  <si>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</si>
  <si>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</si>
  <si>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</si>
  <si>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</si>
  <si>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</si>
  <si>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</si>
  <si>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</si>
  <si>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</si>
  <si>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</si>
  <si>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</si>
  <si>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</si>
  <si>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</si>
  <si>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Misc.</t>
  </si>
  <si>
    <t>EW/KW</t>
  </si>
  <si>
    <t>A.Soloviev AC 61.9</t>
  </si>
  <si>
    <t>A.Soloviev PZ 12.272</t>
  </si>
  <si>
    <t>O.Walas BBS 96</t>
  </si>
  <si>
    <t>Soloviev</t>
  </si>
  <si>
    <t>Zesswewit.</t>
  </si>
  <si>
    <t>IBVS</t>
  </si>
  <si>
    <t>BBSAG</t>
  </si>
  <si>
    <t>ASAS</t>
  </si>
  <si>
    <t>I</t>
  </si>
  <si>
    <t>I?</t>
  </si>
  <si>
    <t>II</t>
  </si>
  <si>
    <t>ROTSE</t>
  </si>
  <si>
    <t># of data points:</t>
  </si>
  <si>
    <t>VZ Lib / GSC 06184-00156</t>
  </si>
  <si>
    <t>My time zone &gt;&gt;&gt;&gt;&gt;</t>
  </si>
  <si>
    <t>(PST=8, PDT=MDT=7, MDT=CST=6, etc.)</t>
  </si>
  <si>
    <t>IBVS 5741</t>
  </si>
  <si>
    <t>Start of linear fit &gt;&gt;&gt;&gt;&gt;&gt;&gt;&gt;&gt;&gt;&gt;&gt;&gt;&gt;&gt;&gt;&gt;&gt;&gt;&gt;&gt;</t>
  </si>
  <si>
    <t>IBVS 5843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</si>
  <si>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</si>
  <si>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</si>
  <si>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</si>
  <si>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</si>
  <si>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</si>
  <si>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</si>
  <si>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</si>
  <si>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</si>
  <si>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</si>
  <si>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</si>
  <si>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</si>
  <si>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</si>
  <si>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</si>
  <si>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</si>
  <si>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</si>
  <si>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</si>
  <si>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</si>
  <si>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</si>
  <si>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</si>
  <si>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</si>
  <si>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</si>
  <si>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</si>
  <si>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</si>
  <si>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</si>
  <si>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</si>
  <si>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</si>
  <si>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</si>
  <si>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</si>
  <si>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</si>
  <si>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</si>
  <si>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</si>
  <si>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</si>
  <si>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</si>
  <si>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</si>
  <si>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</si>
  <si>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</si>
  <si>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</si>
  <si>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</si>
  <si>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</si>
  <si>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</si>
  <si>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</si>
  <si>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</si>
  <si>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</si>
  <si>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</si>
  <si>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</si>
  <si>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</si>
  <si>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</si>
  <si>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</si>
  <si>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</si>
  <si>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</si>
  <si>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</si>
  <si>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</si>
  <si>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</si>
  <si>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</si>
  <si>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</si>
  <si>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</si>
  <si>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</si>
  <si>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</si>
  <si>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</si>
  <si>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</si>
  <si>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</si>
  <si>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</si>
  <si>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</si>
  <si>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</si>
  <si>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</si>
  <si>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</si>
  <si>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</si>
  <si>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</si>
  <si>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</si>
  <si>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</si>
  <si>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</si>
  <si>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</si>
  <si>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</si>
  <si>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</si>
  <si>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JAVSO..37..137</t>
  </si>
  <si>
    <t>IBVS 5917</t>
  </si>
  <si>
    <t>Analysis of Qian et al 2008NewA...13...98</t>
  </si>
  <si>
    <t>Tsesevich 1954</t>
  </si>
  <si>
    <t>Claria and Lapasser 1981</t>
  </si>
  <si>
    <t>Szalai et al 2007</t>
  </si>
  <si>
    <t>Lu et al 2001</t>
  </si>
  <si>
    <t>Qian et al 2008 NewA</t>
  </si>
  <si>
    <t>Krajci 2006</t>
  </si>
  <si>
    <t>Zejda et al 2006</t>
  </si>
  <si>
    <t>Sine</t>
  </si>
  <si>
    <t>Qian et al Eq'n (2)</t>
  </si>
  <si>
    <t xml:space="preserve">c0 = </t>
  </si>
  <si>
    <t xml:space="preserve">c1 = </t>
  </si>
  <si>
    <t xml:space="preserve">omega = ω = </t>
  </si>
  <si>
    <t xml:space="preserve">Phi = </t>
  </si>
  <si>
    <t>C' =</t>
  </si>
  <si>
    <t>Sum residuals ^2</t>
  </si>
  <si>
    <t>Soloviev  IODE 4.2.197</t>
  </si>
  <si>
    <t>Soloviev IODE 4.2.197</t>
  </si>
  <si>
    <t>Zesswewit.  IODE 4.2.197</t>
  </si>
  <si>
    <t>Zesswewit. IODE 4.2.197</t>
  </si>
  <si>
    <t>The addition of new points destroys their fit.</t>
  </si>
  <si>
    <t>New</t>
  </si>
  <si>
    <t>Qian</t>
  </si>
  <si>
    <t>Perryman et al 1997</t>
  </si>
  <si>
    <t>Zola et al. 2007</t>
  </si>
  <si>
    <t>New Linear Eph. =</t>
  </si>
  <si>
    <t>New Quad. Eph.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</si>
  <si>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</si>
  <si>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</si>
  <si>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</si>
  <si>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O.Walas BBSAG 96</t>
  </si>
  <si>
    <t>Szalai 2007</t>
  </si>
  <si>
    <t>Szalai 2007A&amp;A...465..943</t>
  </si>
  <si>
    <t>Qian et al 2008</t>
  </si>
  <si>
    <t>JAAVSO 27, 2009</t>
  </si>
  <si>
    <t>Samolyk 2009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</si>
  <si>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</si>
  <si>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</si>
  <si>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</si>
  <si>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</si>
  <si>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</si>
  <si>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</si>
  <si>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</si>
  <si>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</si>
  <si>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</si>
  <si>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</si>
  <si>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</si>
  <si>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</si>
  <si>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</si>
  <si>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</si>
  <si>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</si>
  <si>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</si>
  <si>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2035</t>
  </si>
  <si>
    <t>PE</t>
  </si>
  <si>
    <t>IBVS 5992</t>
  </si>
  <si>
    <t>vis</t>
  </si>
  <si>
    <t>JAVSO..37...44</t>
  </si>
  <si>
    <t>Tsessevich(1954),reported</t>
  </si>
  <si>
    <t>Perrymanet al.</t>
  </si>
  <si>
    <t>IBVS 6029</t>
  </si>
  <si>
    <t>BAD</t>
  </si>
  <si>
    <t>Add cycle</t>
  </si>
  <si>
    <t>JD today</t>
  </si>
  <si>
    <t>Old Cycle</t>
  </si>
  <si>
    <t>New Cycle</t>
  </si>
  <si>
    <t>Next ToM</t>
  </si>
  <si>
    <t>OEJV 0160</t>
  </si>
  <si>
    <t>Qian 2008NewA…13…98</t>
  </si>
  <si>
    <t>used</t>
  </si>
  <si>
    <t>pg</t>
  </si>
  <si>
    <t>Analysis of Bonnardeau, 2009JAVSO..37..137</t>
  </si>
  <si>
    <t>Samolyk (2009)</t>
  </si>
  <si>
    <t>Orig</t>
  </si>
  <si>
    <t>new</t>
  </si>
  <si>
    <t>S3</t>
  </si>
  <si>
    <t>S4</t>
  </si>
  <si>
    <r>
      <t>Diff</t>
    </r>
    <r>
      <rPr>
        <vertAlign val="superscript"/>
        <sz val="10"/>
        <rFont val="Arial"/>
        <family val="2"/>
      </rPr>
      <t>2</t>
    </r>
  </si>
  <si>
    <r>
      <t>Wt*Diff</t>
    </r>
    <r>
      <rPr>
        <vertAlign val="superscript"/>
        <sz val="10"/>
        <rFont val="Arial"/>
        <family val="2"/>
      </rPr>
      <t>2</t>
    </r>
  </si>
  <si>
    <t>dP/dt =</t>
  </si>
  <si>
    <t>a12 sin I =</t>
  </si>
  <si>
    <t>km</t>
  </si>
  <si>
    <r>
      <t>P = 2</t>
    </r>
    <r>
      <rPr>
        <sz val="10"/>
        <rFont val="Arial"/>
        <family val="2"/>
      </rPr>
      <t>π</t>
    </r>
    <r>
      <rPr>
        <sz val="10"/>
        <rFont val="Arial"/>
        <family val="2"/>
      </rPr>
      <t>/</t>
    </r>
    <r>
      <rPr>
        <sz val="10"/>
        <rFont val="Arial"/>
        <family val="2"/>
      </rPr>
      <t>ω</t>
    </r>
    <r>
      <rPr>
        <sz val="10"/>
        <rFont val="Arial"/>
        <family val="2"/>
      </rPr>
      <t xml:space="preserve"> =</t>
    </r>
  </si>
  <si>
    <t>cycles</t>
  </si>
  <si>
    <t>days</t>
  </si>
  <si>
    <t>years</t>
  </si>
  <si>
    <t>The addition of the pg data invalidates his results</t>
  </si>
  <si>
    <t>Minima from the Lichtenknecker Database of the BAV</t>
  </si>
  <si>
    <t>CCD</t>
  </si>
  <si>
    <t>http://www.bav-astro.de/LkDB/index.php?lang=en&amp;sprache_dial=en</t>
  </si>
  <si>
    <t>V </t>
  </si>
  <si>
    <t>2428731.308 </t>
  </si>
  <si>
    <t> 16.07.1937 19:23 </t>
  </si>
  <si>
    <t> -0.098 </t>
  </si>
  <si>
    <t> Soloviev [Kämper] </t>
  </si>
  <si>
    <t> IODE 4.2.197 </t>
  </si>
  <si>
    <t>2428731.478 </t>
  </si>
  <si>
    <t> 16.07.1937 23:28 </t>
  </si>
  <si>
    <t> -0.107 </t>
  </si>
  <si>
    <t>2429046.215 </t>
  </si>
  <si>
    <t> 27.05.1938 17:09 </t>
  </si>
  <si>
    <t> -0.105 </t>
  </si>
  <si>
    <t>2429046.405 </t>
  </si>
  <si>
    <t> 27.05.1938 21:43 </t>
  </si>
  <si>
    <t> -0.094 </t>
  </si>
  <si>
    <t>2429369.184 </t>
  </si>
  <si>
    <t> 15.04.1939 16:24 </t>
  </si>
  <si>
    <t> -0.110 </t>
  </si>
  <si>
    <t> A.Soloviev </t>
  </si>
  <si>
    <t> AC 61.9 </t>
  </si>
  <si>
    <t>2430493.286 </t>
  </si>
  <si>
    <t> 13.05.1942 18:51 </t>
  </si>
  <si>
    <t> -0.059 </t>
  </si>
  <si>
    <t>2430493.473 </t>
  </si>
  <si>
    <t> 13.05.1942 23:21 </t>
  </si>
  <si>
    <t> -0.052 </t>
  </si>
  <si>
    <t>2430899.220 </t>
  </si>
  <si>
    <t> 23.06.1943 17:16 </t>
  </si>
  <si>
    <t> -0.038 </t>
  </si>
  <si>
    <t> Zesswewit. [Kämper] </t>
  </si>
  <si>
    <t>2430899.399 </t>
  </si>
  <si>
    <t> 23.06.1943 21:34 </t>
  </si>
  <si>
    <t>2431256.240 </t>
  </si>
  <si>
    <t> 14.06.1944 17:45 </t>
  </si>
  <si>
    <t> -0.027 </t>
  </si>
  <si>
    <t>2431256.426 </t>
  </si>
  <si>
    <t> 14.06.1944 22:13 </t>
  </si>
  <si>
    <t> -0.020 </t>
  </si>
  <si>
    <t>2432337.678 </t>
  </si>
  <si>
    <t> 01.06.1947 04:16 </t>
  </si>
  <si>
    <t> -0.007 </t>
  </si>
  <si>
    <t> PZ 12.272 </t>
  </si>
  <si>
    <t>2444366.7339 </t>
  </si>
  <si>
    <t> 07.05.1980 05:36 </t>
  </si>
  <si>
    <t> -0.0011 </t>
  </si>
  <si>
    <t>E </t>
  </si>
  <si>
    <t>?</t>
  </si>
  <si>
    <t> J.J.Claria </t>
  </si>
  <si>
    <t>IBVS 2035 </t>
  </si>
  <si>
    <t>2444408.6509 </t>
  </si>
  <si>
    <t> 18.06.1980 03:37 </t>
  </si>
  <si>
    <t> -0.0009 </t>
  </si>
  <si>
    <t>2444698.8448 </t>
  </si>
  <si>
    <t> 04.04.1981 08:16 </t>
  </si>
  <si>
    <t> -0.0003 </t>
  </si>
  <si>
    <t>2444787.5154 </t>
  </si>
  <si>
    <t> 02.07.1981 00:22 </t>
  </si>
  <si>
    <t> 0.0001 </t>
  </si>
  <si>
    <t>2444788.5901 </t>
  </si>
  <si>
    <t> 03.07.1981 02:09 </t>
  </si>
  <si>
    <t> 0.0000 </t>
  </si>
  <si>
    <t>2444789.6654 </t>
  </si>
  <si>
    <t> 04.07.1981 03:58 </t>
  </si>
  <si>
    <t> 0.0005 </t>
  </si>
  <si>
    <t>2444790.5608 </t>
  </si>
  <si>
    <t> 05.07.1981 01:27 </t>
  </si>
  <si>
    <t> 0.0003 </t>
  </si>
  <si>
    <t>2448085.460 </t>
  </si>
  <si>
    <t> 12.07.1990 23:02 </t>
  </si>
  <si>
    <t> 0.489 </t>
  </si>
  <si>
    <t> O.Walas </t>
  </si>
  <si>
    <t> BBS 96 </t>
  </si>
  <si>
    <t>2448094.418 </t>
  </si>
  <si>
    <t> 21.07.1990 22:01 </t>
  </si>
  <si>
    <t> 0.490 </t>
  </si>
  <si>
    <t>2448122.361 </t>
  </si>
  <si>
    <t> 18.08.1990 20:39 </t>
  </si>
  <si>
    <t>2451306.023 </t>
  </si>
  <si>
    <t> 07.05.1999 12:33 </t>
  </si>
  <si>
    <t> 0.981 </t>
  </si>
  <si>
    <t>C </t>
  </si>
  <si>
    <t>ns</t>
  </si>
  <si>
    <t> S.Kiyota </t>
  </si>
  <si>
    <t>VSB 47 </t>
  </si>
  <si>
    <t>2451311.043 </t>
  </si>
  <si>
    <t> 12.05.1999 13:01 </t>
  </si>
  <si>
    <t> 0.985 </t>
  </si>
  <si>
    <t> K.Nagai </t>
  </si>
  <si>
    <t>2451316.064 </t>
  </si>
  <si>
    <t> 17.05.1999 13:32 </t>
  </si>
  <si>
    <t> 0.991 </t>
  </si>
  <si>
    <t>2451331.101 </t>
  </si>
  <si>
    <t> 01.06.1999 14:25 </t>
  </si>
  <si>
    <t>Rc</t>
  </si>
  <si>
    <t>2452761.0806 </t>
  </si>
  <si>
    <t> 01.05.2003 13:56 </t>
  </si>
  <si>
    <t> 1.1312 </t>
  </si>
  <si>
    <t>VSB 42 </t>
  </si>
  <si>
    <t>2452763.0500 </t>
  </si>
  <si>
    <t> 03.05.2003 13:12 </t>
  </si>
  <si>
    <t> 1.1301 </t>
  </si>
  <si>
    <t>2453189.0102 </t>
  </si>
  <si>
    <t> 02.07.2004 12:14 </t>
  </si>
  <si>
    <t> 1.1152 </t>
  </si>
  <si>
    <t>m</t>
  </si>
  <si>
    <t> T.Szalai et al. </t>
  </si>
  <si>
    <t> AAP 465, 943ff </t>
  </si>
  <si>
    <t>2453190.9776 </t>
  </si>
  <si>
    <t> 04.07.2004 11:27 </t>
  </si>
  <si>
    <t> 1.1122 </t>
  </si>
  <si>
    <t>2453438.8952 </t>
  </si>
  <si>
    <t> 09.03.2005 09:29 </t>
  </si>
  <si>
    <t> 1.1115 </t>
  </si>
  <si>
    <t> T.Krajci </t>
  </si>
  <si>
    <t>IBVS 5690 </t>
  </si>
  <si>
    <t>2453450.5387 </t>
  </si>
  <si>
    <t> 21.03.2005 00:55 </t>
  </si>
  <si>
    <t> M.Zejda et al. </t>
  </si>
  <si>
    <t>IBVS 5741 </t>
  </si>
  <si>
    <t>2453509.8297 </t>
  </si>
  <si>
    <t> 19.05.2005 07:54 </t>
  </si>
  <si>
    <t> 1.1099 </t>
  </si>
  <si>
    <t>-I</t>
  </si>
  <si>
    <t> W.Ogloza et al. </t>
  </si>
  <si>
    <t>IBVS 5843 </t>
  </si>
  <si>
    <t>2453511.6204 </t>
  </si>
  <si>
    <t> 21.05.2005 02:53 </t>
  </si>
  <si>
    <t>24345</t>
  </si>
  <si>
    <t> 1.1093 </t>
  </si>
  <si>
    <t>2453511.7985 </t>
  </si>
  <si>
    <t> 21.05.2005 07:09 </t>
  </si>
  <si>
    <t>24345.5</t>
  </si>
  <si>
    <t> 1.1083 </t>
  </si>
  <si>
    <t>2453517.7113 </t>
  </si>
  <si>
    <t> 27.05.2005 05:04 </t>
  </si>
  <si>
    <t>24362</t>
  </si>
  <si>
    <t> 1.1097 </t>
  </si>
  <si>
    <t>2453858.2414 </t>
  </si>
  <si>
    <t> 02.05.2006 17:47 </t>
  </si>
  <si>
    <t>25312.5</t>
  </si>
  <si>
    <t> 1.1105 </t>
  </si>
  <si>
    <t> K.Nagai et al. </t>
  </si>
  <si>
    <t>VSB 45 </t>
  </si>
  <si>
    <t>2453860.0311 </t>
  </si>
  <si>
    <t> 04.05.2006 12:44 </t>
  </si>
  <si>
    <t>25317.5</t>
  </si>
  <si>
    <t> 1.1089 </t>
  </si>
  <si>
    <t>2454571.1601 </t>
  </si>
  <si>
    <t> 14.04.2008 15:50 </t>
  </si>
  <si>
    <t>27302.5</t>
  </si>
  <si>
    <t> 1.0852 </t>
  </si>
  <si>
    <t>Ic</t>
  </si>
  <si>
    <t> K.Nakajima </t>
  </si>
  <si>
    <t>VSB 48 </t>
  </si>
  <si>
    <t>2454667.3522 </t>
  </si>
  <si>
    <t> 19.07.2008 20:27 </t>
  </si>
  <si>
    <t>27571</t>
  </si>
  <si>
    <t> 1.0836 </t>
  </si>
  <si>
    <t> F.Salvaggio </t>
  </si>
  <si>
    <t>JAAVSO 37(1);44 </t>
  </si>
  <si>
    <t>2454667.353 </t>
  </si>
  <si>
    <t> 19.07.2008 20:28 </t>
  </si>
  <si>
    <t> 1.084 </t>
  </si>
  <si>
    <t> G.Marino et al. </t>
  </si>
  <si>
    <t>IBVS 5917 </t>
  </si>
  <si>
    <t>2454920.2831 </t>
  </si>
  <si>
    <t> 29.03.2009 18:47 </t>
  </si>
  <si>
    <t>28277</t>
  </si>
  <si>
    <t> 1.0805 </t>
  </si>
  <si>
    <t>VSB 50 </t>
  </si>
  <si>
    <t>2454951.0928 </t>
  </si>
  <si>
    <t> 29.04.2009 14:13 </t>
  </si>
  <si>
    <t>28363</t>
  </si>
  <si>
    <t> 1.0796 </t>
  </si>
  <si>
    <t>2455318.1183 </t>
  </si>
  <si>
    <t> 01.05.2010 14:50 </t>
  </si>
  <si>
    <t>29387.5</t>
  </si>
  <si>
    <t> 1.0643 </t>
  </si>
  <si>
    <t>VSB 51 </t>
  </si>
  <si>
    <t>2455350.0036 </t>
  </si>
  <si>
    <t> 02.06.2010 12:05 </t>
  </si>
  <si>
    <t>29476.5</t>
  </si>
  <si>
    <t> 1.0642 </t>
  </si>
  <si>
    <t>2455652.9091 </t>
  </si>
  <si>
    <t> 01.04.2011 09:49 </t>
  </si>
  <si>
    <t>30322</t>
  </si>
  <si>
    <t> 1.0580 </t>
  </si>
  <si>
    <t> R.Diethelm </t>
  </si>
  <si>
    <t>IBVS 5992 </t>
  </si>
  <si>
    <t>2456016.9007 </t>
  </si>
  <si>
    <t> 30.03.2012 09:37 </t>
  </si>
  <si>
    <t>31338</t>
  </si>
  <si>
    <t> 1.0541 </t>
  </si>
  <si>
    <t>IBVS 6029 </t>
  </si>
  <si>
    <t>2456053.0829 </t>
  </si>
  <si>
    <t> 05.05.2012 13:59 </t>
  </si>
  <si>
    <t>31439</t>
  </si>
  <si>
    <t> 1.0517 </t>
  </si>
  <si>
    <t>VSB 55 </t>
  </si>
  <si>
    <t>2456067.4138 </t>
  </si>
  <si>
    <t> 19.05.2012 21:55 </t>
  </si>
  <si>
    <t>31479</t>
  </si>
  <si>
    <t> 1.0520 </t>
  </si>
  <si>
    <t> M.Lehky </t>
  </si>
  <si>
    <t>OEJV 0160 </t>
  </si>
  <si>
    <t>2456067.41386 </t>
  </si>
  <si>
    <t> 1.05208 </t>
  </si>
  <si>
    <t>2456067.41405 </t>
  </si>
  <si>
    <t> 19.05.2012 21:56 </t>
  </si>
  <si>
    <t> 1.05227 </t>
  </si>
  <si>
    <t>2456067.41464 </t>
  </si>
  <si>
    <t> 19.05.2012 21:57 </t>
  </si>
  <si>
    <t> 1.05286 </t>
  </si>
  <si>
    <t>2456093.7440 </t>
  </si>
  <si>
    <t> 15.06.2012 05:51 </t>
  </si>
  <si>
    <t>31552.5</t>
  </si>
  <si>
    <t> 1.0499 </t>
  </si>
  <si>
    <t>s5</t>
  </si>
  <si>
    <t>s6</t>
  </si>
  <si>
    <t>s7</t>
  </si>
  <si>
    <t>Residuals</t>
  </si>
  <si>
    <t>old</t>
  </si>
  <si>
    <t>s4</t>
  </si>
  <si>
    <t>I do not like this cycle readjustment</t>
  </si>
  <si>
    <t>VSB 060</t>
  </si>
  <si>
    <t>VSB 069</t>
  </si>
  <si>
    <t>VSB, 91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</si>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</sst>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00000"/>
    <numFmt numFmtId="167" formatCode="0.00000000"/>
    <numFmt numFmtId="168" formatCode="0.E+00"/>
    <numFmt numFmtId="169" formatCode="0.0%"/>
    <numFmt numFmtId="170" formatCode="0.000000"/>
  </numFmts>
  <fonts count="5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 Unicode MS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sz val="10"/>
      <color indexed="63"/>
      <name val="Arial"/>
      <family val="2"/>
    </font>
    <font>
      <b/>
      <sz val="12"/>
      <color indexed="8"/>
      <name val="Arial"/>
      <family val="2"/>
    </font>
    <font>
      <strike/>
      <sz val="10"/>
      <color indexed="12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0" fillId="7" borderId="1" applyNumberFormat="0" applyAlignment="0" applyProtection="0"/>
    <xf numFmtId="0" fontId="51" fillId="0" borderId="4" applyNumberFormat="0" applyFill="0" applyAlignment="0" applyProtection="0"/>
    <xf numFmtId="0" fontId="52" fillId="22" borderId="0" applyNumberFormat="0" applyBorder="0" applyAlignment="0" applyProtection="0"/>
    <xf numFmtId="0" fontId="42" fillId="0" borderId="0"/>
    <xf numFmtId="0" fontId="15" fillId="0" borderId="0"/>
    <xf numFmtId="0" fontId="42" fillId="23" borderId="5" applyNumberFormat="0" applyFont="0" applyAlignment="0" applyProtection="0"/>
    <xf numFmtId="0" fontId="53" fillId="20" borderId="6" applyNumberFormat="0" applyAlignment="0" applyProtection="0"/>
    <xf numFmtId="0" fontId="5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55" fillId="0" borderId="0" applyNumberFormat="0" applyFill="0" applyBorder="0" applyAlignment="0" applyProtection="0"/>
  </cellStyleXfs>
  <cellXfs count="2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167" fontId="0" fillId="0" borderId="0" xfId="0" applyNumberFormat="1" applyAlignment="1"/>
    <xf numFmtId="0" fontId="0" fillId="24" borderId="0" xfId="0" applyFill="1" applyAlignment="1"/>
    <xf numFmtId="165" fontId="0" fillId="0" borderId="0" xfId="0" applyNumberForma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2" fillId="0" borderId="15" xfId="0" applyFont="1" applyBorder="1">
      <alignment vertical="top"/>
    </xf>
    <xf numFmtId="0" fontId="10" fillId="0" borderId="11" xfId="0" applyFont="1" applyBorder="1">
      <alignment vertical="top"/>
    </xf>
    <xf numFmtId="168" fontId="10" fillId="0" borderId="11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2" fillId="0" borderId="17" xfId="0" applyFont="1" applyBorder="1">
      <alignment vertical="top"/>
    </xf>
    <xf numFmtId="0" fontId="10" fillId="0" borderId="12" xfId="0" applyFont="1" applyBorder="1">
      <alignment vertical="top"/>
    </xf>
    <xf numFmtId="168" fontId="10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2" fillId="0" borderId="19" xfId="0" applyFont="1" applyBorder="1">
      <alignment vertical="top"/>
    </xf>
    <xf numFmtId="0" fontId="10" fillId="0" borderId="13" xfId="0" applyFont="1" applyBorder="1">
      <alignment vertical="top"/>
    </xf>
    <xf numFmtId="168" fontId="10" fillId="0" borderId="13" xfId="0" applyNumberFormat="1" applyFont="1" applyBorder="1" applyAlignment="1">
      <alignment horizontal="center"/>
    </xf>
    <xf numFmtId="0" fontId="21" fillId="0" borderId="10" xfId="0" applyFont="1" applyBorder="1">
      <alignment vertical="top"/>
    </xf>
    <xf numFmtId="0" fontId="0" fillId="0" borderId="10" xfId="0" applyBorder="1">
      <alignment vertical="top"/>
    </xf>
    <xf numFmtId="0" fontId="22" fillId="0" borderId="0" xfId="0" applyFont="1">
      <alignment vertical="top"/>
    </xf>
    <xf numFmtId="168" fontId="10" fillId="0" borderId="0" xfId="0" applyNumberFormat="1" applyFont="1" applyAlignment="1">
      <alignment horizontal="center"/>
    </xf>
    <xf numFmtId="0" fontId="23" fillId="0" borderId="0" xfId="0" applyFont="1">
      <alignment vertical="top"/>
    </xf>
    <xf numFmtId="169" fontId="23" fillId="0" borderId="0" xfId="0" applyNumberFormat="1" applyFont="1">
      <alignment vertical="top"/>
    </xf>
    <xf numFmtId="10" fontId="23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5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5" borderId="5" xfId="0" applyFont="1" applyFill="1" applyBorder="1">
      <alignment vertical="top"/>
    </xf>
    <xf numFmtId="0" fontId="10" fillId="0" borderId="20" xfId="0" applyFont="1" applyBorder="1">
      <alignment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5" fillId="0" borderId="0" xfId="0" applyFont="1" applyAlignme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14" fillId="25" borderId="20" xfId="0" applyFont="1" applyFill="1" applyBorder="1">
      <alignment vertical="top"/>
    </xf>
    <xf numFmtId="165" fontId="0" fillId="0" borderId="10" xfId="0" applyNumberFormat="1" applyBorder="1" applyAlignment="1">
      <alignment horizontal="left"/>
    </xf>
    <xf numFmtId="2" fontId="0" fillId="0" borderId="10" xfId="0" applyNumberFormat="1" applyBorder="1" applyAlignment="1"/>
    <xf numFmtId="165" fontId="0" fillId="0" borderId="10" xfId="0" applyNumberFormat="1" applyBorder="1" applyAlignment="1"/>
    <xf numFmtId="165" fontId="10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70" fontId="0" fillId="0" borderId="0" xfId="0" applyNumberFormat="1">
      <alignment vertical="top"/>
    </xf>
    <xf numFmtId="0" fontId="18" fillId="0" borderId="0" xfId="0" applyFont="1" applyAlignment="1"/>
    <xf numFmtId="165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165" fontId="26" fillId="0" borderId="0" xfId="0" applyNumberFormat="1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left"/>
    </xf>
    <xf numFmtId="2" fontId="7" fillId="0" borderId="0" xfId="0" applyNumberFormat="1" applyFont="1" applyAlignment="1"/>
    <xf numFmtId="165" fontId="7" fillId="0" borderId="0" xfId="0" applyNumberFormat="1" applyFont="1" applyAlignment="1"/>
    <xf numFmtId="0" fontId="28" fillId="0" borderId="0" xfId="0" applyFont="1" applyAlignment="1">
      <alignment horizontal="left" vertical="top"/>
    </xf>
    <xf numFmtId="0" fontId="29" fillId="0" borderId="0" xfId="0" applyFont="1" applyAlignment="1"/>
    <xf numFmtId="0" fontId="29" fillId="0" borderId="10" xfId="0" applyFont="1" applyBorder="1" applyAlignment="1"/>
    <xf numFmtId="0" fontId="0" fillId="0" borderId="21" xfId="0" applyBorder="1">
      <alignment vertical="top"/>
    </xf>
    <xf numFmtId="0" fontId="0" fillId="0" borderId="22" xfId="0" applyBorder="1">
      <alignment vertical="top"/>
    </xf>
    <xf numFmtId="0" fontId="0" fillId="0" borderId="23" xfId="0" applyBorder="1" applyAlignment="1"/>
    <xf numFmtId="0" fontId="0" fillId="0" borderId="24" xfId="0" applyBorder="1" applyAlignment="1"/>
    <xf numFmtId="0" fontId="16" fillId="0" borderId="0" xfId="0" applyFont="1" applyAlignment="1">
      <alignment horizontal="center"/>
    </xf>
    <xf numFmtId="2" fontId="16" fillId="0" borderId="0" xfId="0" applyNumberFormat="1" applyFont="1" applyAlignment="1"/>
    <xf numFmtId="0" fontId="16" fillId="0" borderId="0" xfId="0" applyFont="1" applyAlignment="1"/>
    <xf numFmtId="165" fontId="16" fillId="0" borderId="0" xfId="0" applyNumberFormat="1" applyFont="1" applyAlignment="1"/>
    <xf numFmtId="0" fontId="11" fillId="0" borderId="0" xfId="0" applyFont="1" applyAlignment="1">
      <alignment horizontal="left" vertical="top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32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0" fillId="0" borderId="10" xfId="0" applyBorder="1" applyAlignment="1"/>
    <xf numFmtId="14" fontId="0" fillId="0" borderId="10" xfId="0" applyNumberFormat="1" applyBorder="1" applyAlignment="1"/>
    <xf numFmtId="0" fontId="30" fillId="26" borderId="0" xfId="0" applyFont="1" applyFill="1" applyAlignment="1"/>
    <xf numFmtId="165" fontId="31" fillId="0" borderId="0" xfId="0" applyNumberFormat="1" applyFont="1" applyAlignment="1"/>
    <xf numFmtId="14" fontId="31" fillId="0" borderId="0" xfId="0" applyNumberFormat="1" applyFont="1" applyAlignment="1"/>
    <xf numFmtId="0" fontId="31" fillId="0" borderId="0" xfId="0" applyFont="1" applyAlignment="1"/>
    <xf numFmtId="2" fontId="31" fillId="0" borderId="0" xfId="0" applyNumberFormat="1" applyFont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/>
    </xf>
    <xf numFmtId="0" fontId="30" fillId="27" borderId="0" xfId="0" applyFont="1" applyFill="1" applyAlignment="1"/>
    <xf numFmtId="0" fontId="30" fillId="0" borderId="0" xfId="0" applyFont="1" applyAlignment="1">
      <alignment horizontal="left" vertical="top"/>
    </xf>
    <xf numFmtId="0" fontId="34" fillId="0" borderId="0" xfId="0" applyFont="1">
      <alignment vertical="top"/>
    </xf>
    <xf numFmtId="0" fontId="35" fillId="0" borderId="0" xfId="0" applyFont="1" applyAlignment="1">
      <alignment horizontal="center"/>
    </xf>
    <xf numFmtId="165" fontId="12" fillId="0" borderId="0" xfId="0" applyNumberFormat="1" applyFont="1" applyAlignment="1"/>
    <xf numFmtId="0" fontId="11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3" fillId="0" borderId="0" xfId="0" applyFont="1" applyAlignment="1"/>
    <xf numFmtId="0" fontId="0" fillId="27" borderId="0" xfId="0" applyFill="1" applyAlignment="1"/>
    <xf numFmtId="2" fontId="0" fillId="0" borderId="5" xfId="0" applyNumberFormat="1" applyBorder="1" applyAlignment="1"/>
    <xf numFmtId="0" fontId="0" fillId="27" borderId="5" xfId="0" applyFill="1" applyBorder="1" applyAlignment="1"/>
    <xf numFmtId="165" fontId="0" fillId="0" borderId="5" xfId="0" applyNumberFormat="1" applyBorder="1" applyAlignment="1"/>
    <xf numFmtId="0" fontId="0" fillId="0" borderId="5" xfId="0" applyBorder="1" applyAlignment="1"/>
    <xf numFmtId="0" fontId="33" fillId="27" borderId="5" xfId="0" applyFont="1" applyFill="1" applyBorder="1" applyAlignment="1"/>
    <xf numFmtId="2" fontId="0" fillId="0" borderId="20" xfId="0" applyNumberFormat="1" applyBorder="1" applyAlignment="1"/>
    <xf numFmtId="0" fontId="30" fillId="26" borderId="20" xfId="0" applyFont="1" applyFill="1" applyBorder="1" applyAlignment="1"/>
    <xf numFmtId="0" fontId="33" fillId="0" borderId="10" xfId="0" applyFont="1" applyBorder="1">
      <alignment vertical="top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165" fontId="33" fillId="0" borderId="0" xfId="0" applyNumberFormat="1" applyFont="1" applyAlignment="1">
      <alignment horizontal="left"/>
    </xf>
    <xf numFmtId="0" fontId="36" fillId="0" borderId="0" xfId="0" applyFont="1">
      <alignment vertical="top"/>
    </xf>
    <xf numFmtId="0" fontId="15" fillId="0" borderId="10" xfId="0" applyFont="1" applyBorder="1" applyAlignment="1">
      <alignment horizontal="center"/>
    </xf>
    <xf numFmtId="2" fontId="38" fillId="0" borderId="0" xfId="0" applyNumberFormat="1" applyFont="1" applyAlignment="1"/>
    <xf numFmtId="0" fontId="38" fillId="0" borderId="0" xfId="0" applyFont="1" applyAlignment="1"/>
    <xf numFmtId="165" fontId="38" fillId="0" borderId="0" xfId="0" applyNumberFormat="1" applyFont="1" applyAlignment="1"/>
    <xf numFmtId="0" fontId="3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0" xfId="0" quotePrefix="1" applyAlignment="1"/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9" fillId="28" borderId="25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65" fontId="31" fillId="0" borderId="0" xfId="0" applyNumberFormat="1" applyFont="1" applyAlignment="1">
      <alignment horizontal="left"/>
    </xf>
    <xf numFmtId="0" fontId="7" fillId="0" borderId="10" xfId="0" applyFont="1" applyBorder="1" applyAlignme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vertical="top"/>
    </xf>
    <xf numFmtId="0" fontId="0" fillId="29" borderId="0" xfId="0" applyFill="1" applyAlignment="1"/>
    <xf numFmtId="0" fontId="41" fillId="29" borderId="0" xfId="0" applyFont="1" applyFill="1" applyAlignment="1"/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8" fillId="0" borderId="0" xfId="42" applyFont="1"/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166" fontId="56" fillId="0" borderId="0" xfId="0" applyNumberFormat="1" applyFont="1" applyAlignment="1">
      <alignment vertical="center" wrapText="1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center"/>
      <protection locked="0"/>
    </xf>
    <xf numFmtId="166" fontId="5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  <xf numFmtId="2" fontId="0" fillId="0" borderId="20" xfId="0" applyNumberFormat="1" applyBorder="1" applyAlignment="1">
      <alignment vertical="center"/>
    </xf>
    <xf numFmtId="0" fontId="30" fillId="26" borderId="20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5" xfId="0" applyNumberForma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3" fillId="27" borderId="5" xfId="0" applyFont="1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2" fontId="0" fillId="0" borderId="10" xfId="0" applyNumberFormat="1" applyBorder="1" applyAlignment="1">
      <alignment vertical="center"/>
    </xf>
    <xf numFmtId="165" fontId="10" fillId="0" borderId="0" xfId="0" applyNumberFormat="1" applyFont="1" applyAlignment="1">
      <alignment horizontal="left" vertical="center"/>
    </xf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2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8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vertical="center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65" fontId="31" fillId="0" borderId="0" xfId="0" applyNumberFormat="1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09690484726749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1'!$H$21:$H$994</c:f>
              <c:numCache>
                <c:formatCode>0.0000</c:formatCode>
                <c:ptCount val="974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84-4E05-BCCB-065CD498D43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84-4E05-BCCB-065CD498D4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84-4E05-BCCB-065CD498D43B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84-4E05-BCCB-065CD498D43B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1'!$O$21:$O$994</c:f>
              <c:numCache>
                <c:formatCode>0.0000</c:formatCode>
                <c:ptCount val="974"/>
                <c:pt idx="5">
                  <c:v>0.21511123608906121</c:v>
                </c:pt>
                <c:pt idx="13">
                  <c:v>7.1870259263278904E-2</c:v>
                </c:pt>
                <c:pt idx="14">
                  <c:v>7.146240366744E-2</c:v>
                </c:pt>
                <c:pt idx="15">
                  <c:v>6.8638788003939868E-2</c:v>
                </c:pt>
                <c:pt idx="16">
                  <c:v>6.777601655120373E-2</c:v>
                </c:pt>
                <c:pt idx="17">
                  <c:v>6.7765558715412982E-2</c:v>
                </c:pt>
                <c:pt idx="18">
                  <c:v>6.7755100879622235E-2</c:v>
                </c:pt>
                <c:pt idx="19">
                  <c:v>6.7746386016463295E-2</c:v>
                </c:pt>
                <c:pt idx="20">
                  <c:v>6.7746386016463295E-2</c:v>
                </c:pt>
                <c:pt idx="21">
                  <c:v>3.5686147427314331E-2</c:v>
                </c:pt>
                <c:pt idx="22">
                  <c:v>3.5598998795724819E-2</c:v>
                </c:pt>
                <c:pt idx="23">
                  <c:v>3.5327095065165549E-2</c:v>
                </c:pt>
                <c:pt idx="24">
                  <c:v>3.324249979754447E-2</c:v>
                </c:pt>
                <c:pt idx="25">
                  <c:v>3.1649422812088226E-2</c:v>
                </c:pt>
                <c:pt idx="26">
                  <c:v>6.4373236932429648E-3</c:v>
                </c:pt>
                <c:pt idx="27">
                  <c:v>4.3492424803583118E-3</c:v>
                </c:pt>
                <c:pt idx="28">
                  <c:v>4.3004392466681751E-3</c:v>
                </c:pt>
                <c:pt idx="29">
                  <c:v>4.2655797940323731E-3</c:v>
                </c:pt>
                <c:pt idx="30">
                  <c:v>4.2516360129780523E-3</c:v>
                </c:pt>
                <c:pt idx="31">
                  <c:v>4.1052263119076837E-3</c:v>
                </c:pt>
                <c:pt idx="32">
                  <c:v>4.0302784887406989E-3</c:v>
                </c:pt>
                <c:pt idx="33">
                  <c:v>1.3408717178884227E-3</c:v>
                </c:pt>
                <c:pt idx="34">
                  <c:v>-2.5686158952170079E-3</c:v>
                </c:pt>
                <c:pt idx="35">
                  <c:v>-2.7411701857642246E-3</c:v>
                </c:pt>
                <c:pt idx="36">
                  <c:v>-7.0253969147045514E-3</c:v>
                </c:pt>
                <c:pt idx="37">
                  <c:v>-9.4620726539472455E-3</c:v>
                </c:pt>
                <c:pt idx="38">
                  <c:v>-9.4638156265790391E-3</c:v>
                </c:pt>
                <c:pt idx="39">
                  <c:v>-9.4725304897379931E-3</c:v>
                </c:pt>
                <c:pt idx="40">
                  <c:v>-9.4812453528969332E-3</c:v>
                </c:pt>
                <c:pt idx="41">
                  <c:v>-9.4812453528969332E-3</c:v>
                </c:pt>
                <c:pt idx="42">
                  <c:v>-9.4829883255287267E-3</c:v>
                </c:pt>
                <c:pt idx="43">
                  <c:v>-9.5126188602691619E-3</c:v>
                </c:pt>
                <c:pt idx="44">
                  <c:v>-9.8089242076735E-3</c:v>
                </c:pt>
                <c:pt idx="45">
                  <c:v>-9.8280969066231877E-3</c:v>
                </c:pt>
                <c:pt idx="46">
                  <c:v>-9.9326752645306077E-3</c:v>
                </c:pt>
                <c:pt idx="47">
                  <c:v>-1.3425592418638166E-2</c:v>
                </c:pt>
                <c:pt idx="48">
                  <c:v>-1.3972885825020293E-2</c:v>
                </c:pt>
                <c:pt idx="49">
                  <c:v>-1.399205852396998E-2</c:v>
                </c:pt>
                <c:pt idx="50">
                  <c:v>-1.640433264636762E-2</c:v>
                </c:pt>
                <c:pt idx="51">
                  <c:v>-1.651762586743398E-2</c:v>
                </c:pt>
                <c:pt idx="52">
                  <c:v>-1.7094549808556542E-2</c:v>
                </c:pt>
                <c:pt idx="53">
                  <c:v>-1.7111979534874436E-2</c:v>
                </c:pt>
                <c:pt idx="54">
                  <c:v>-1.7113722507506229E-2</c:v>
                </c:pt>
                <c:pt idx="55">
                  <c:v>-1.7171240604355306E-2</c:v>
                </c:pt>
                <c:pt idx="56">
                  <c:v>-1.7207843029622902E-2</c:v>
                </c:pt>
                <c:pt idx="57">
                  <c:v>-2.0484631577388474E-2</c:v>
                </c:pt>
                <c:pt idx="58">
                  <c:v>-2.0502061303706381E-2</c:v>
                </c:pt>
                <c:pt idx="59">
                  <c:v>-2.3463371805117927E-2</c:v>
                </c:pt>
                <c:pt idx="60">
                  <c:v>-2.4136159240988955E-2</c:v>
                </c:pt>
                <c:pt idx="61">
                  <c:v>-2.4796745868437442E-2</c:v>
                </c:pt>
                <c:pt idx="62">
                  <c:v>-2.7114899468718409E-2</c:v>
                </c:pt>
                <c:pt idx="63">
                  <c:v>-2.7421662651913481E-2</c:v>
                </c:pt>
                <c:pt idx="64">
                  <c:v>-2.8134538458315678E-2</c:v>
                </c:pt>
                <c:pt idx="65">
                  <c:v>-2.8153711157265365E-2</c:v>
                </c:pt>
                <c:pt idx="66">
                  <c:v>-2.8251317624645611E-2</c:v>
                </c:pt>
                <c:pt idx="67">
                  <c:v>-2.8357638955184811E-2</c:v>
                </c:pt>
                <c:pt idx="68">
                  <c:v>-2.8357638955184811E-2</c:v>
                </c:pt>
                <c:pt idx="69">
                  <c:v>-2.8357638955184811E-2</c:v>
                </c:pt>
                <c:pt idx="70">
                  <c:v>-3.0569471224926578E-2</c:v>
                </c:pt>
                <c:pt idx="71">
                  <c:v>-3.0818716311272587E-2</c:v>
                </c:pt>
                <c:pt idx="72">
                  <c:v>-3.1118507603940498E-2</c:v>
                </c:pt>
                <c:pt idx="73">
                  <c:v>-3.1317206483964577E-2</c:v>
                </c:pt>
                <c:pt idx="74">
                  <c:v>-3.4689858526478615E-2</c:v>
                </c:pt>
                <c:pt idx="75">
                  <c:v>-3.5000107654937274E-2</c:v>
                </c:pt>
                <c:pt idx="76">
                  <c:v>-3.7947474375294499E-2</c:v>
                </c:pt>
                <c:pt idx="77">
                  <c:v>-4.1489194763092194E-2</c:v>
                </c:pt>
                <c:pt idx="78">
                  <c:v>-4.1841275234713815E-2</c:v>
                </c:pt>
                <c:pt idx="79">
                  <c:v>-4.1980713045257023E-2</c:v>
                </c:pt>
                <c:pt idx="80">
                  <c:v>-4.1980713045257023E-2</c:v>
                </c:pt>
                <c:pt idx="81">
                  <c:v>-4.1980713045257023E-2</c:v>
                </c:pt>
                <c:pt idx="82">
                  <c:v>-4.1980713045257023E-2</c:v>
                </c:pt>
                <c:pt idx="83">
                  <c:v>-4.1980713045257023E-2</c:v>
                </c:pt>
                <c:pt idx="84">
                  <c:v>-4.1980713045257023E-2</c:v>
                </c:pt>
                <c:pt idx="85">
                  <c:v>-4.1980713045257023E-2</c:v>
                </c:pt>
                <c:pt idx="86">
                  <c:v>-4.1980713045257023E-2</c:v>
                </c:pt>
                <c:pt idx="87">
                  <c:v>-4.2236930022130192E-2</c:v>
                </c:pt>
                <c:pt idx="88">
                  <c:v>-4.2236930022130192E-2</c:v>
                </c:pt>
                <c:pt idx="89">
                  <c:v>-4.8924716010309191E-2</c:v>
                </c:pt>
                <c:pt idx="90">
                  <c:v>-4.8994434915580795E-2</c:v>
                </c:pt>
                <c:pt idx="91">
                  <c:v>-5.2651191497076644E-2</c:v>
                </c:pt>
                <c:pt idx="92">
                  <c:v>-5.6184197021715371E-2</c:v>
                </c:pt>
                <c:pt idx="93">
                  <c:v>-5.6184197021715371E-2</c:v>
                </c:pt>
                <c:pt idx="94">
                  <c:v>-5.6184197021715371E-2</c:v>
                </c:pt>
                <c:pt idx="95">
                  <c:v>-6.4051975481616341E-2</c:v>
                </c:pt>
                <c:pt idx="96">
                  <c:v>-6.9992026210757341E-2</c:v>
                </c:pt>
                <c:pt idx="97">
                  <c:v>-6.9992026210757341E-2</c:v>
                </c:pt>
                <c:pt idx="98">
                  <c:v>-6.9992026210757341E-2</c:v>
                </c:pt>
                <c:pt idx="99">
                  <c:v>-7.0176781309727099E-2</c:v>
                </c:pt>
                <c:pt idx="100">
                  <c:v>-7.0176781309727099E-2</c:v>
                </c:pt>
                <c:pt idx="101">
                  <c:v>-7.0176781309727099E-2</c:v>
                </c:pt>
                <c:pt idx="102">
                  <c:v>-7.0457399903445322E-2</c:v>
                </c:pt>
                <c:pt idx="103">
                  <c:v>-7.0506203137135459E-2</c:v>
                </c:pt>
                <c:pt idx="104">
                  <c:v>-7.3087545604816756E-2</c:v>
                </c:pt>
                <c:pt idx="105">
                  <c:v>-7.3087545604816756E-2</c:v>
                </c:pt>
                <c:pt idx="106">
                  <c:v>-7.3359449335376026E-2</c:v>
                </c:pt>
                <c:pt idx="107">
                  <c:v>-7.3359449335376026E-2</c:v>
                </c:pt>
                <c:pt idx="108">
                  <c:v>-7.3359449335376026E-2</c:v>
                </c:pt>
                <c:pt idx="109">
                  <c:v>-7.6629265992614437E-2</c:v>
                </c:pt>
                <c:pt idx="110">
                  <c:v>-7.6629265992614437E-2</c:v>
                </c:pt>
                <c:pt idx="111">
                  <c:v>-7.685236648948357E-2</c:v>
                </c:pt>
                <c:pt idx="112">
                  <c:v>-7.685236648948357E-2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84-4E05-BCCB-065CD498D43B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1'!$W$2:$W$19</c:f>
              <c:numCache>
                <c:formatCode>0.00E+00</c:formatCode>
                <c:ptCount val="18"/>
                <c:pt idx="0">
                  <c:v>-0.64626770974432546</c:v>
                </c:pt>
                <c:pt idx="1">
                  <c:v>-0.54426410079126664</c:v>
                </c:pt>
                <c:pt idx="2">
                  <c:v>-0.45081905230762209</c:v>
                </c:pt>
                <c:pt idx="3">
                  <c:v>-0.36593256429339188</c:v>
                </c:pt>
                <c:pt idx="4">
                  <c:v>-0.28960463674857601</c:v>
                </c:pt>
                <c:pt idx="5">
                  <c:v>-0.22183526967317449</c:v>
                </c:pt>
                <c:pt idx="6">
                  <c:v>-0.16262446306718728</c:v>
                </c:pt>
                <c:pt idx="7">
                  <c:v>-0.1119722169306144</c:v>
                </c:pt>
                <c:pt idx="8">
                  <c:v>-6.9878531263455876E-2</c:v>
                </c:pt>
                <c:pt idx="9">
                  <c:v>-3.6343406065711667E-2</c:v>
                </c:pt>
                <c:pt idx="10">
                  <c:v>-1.136684133738179E-2</c:v>
                </c:pt>
                <c:pt idx="11">
                  <c:v>5.0511629215337526E-3</c:v>
                </c:pt>
                <c:pt idx="12">
                  <c:v>1.2910606711034962E-2</c:v>
                </c:pt>
                <c:pt idx="13">
                  <c:v>1.221149003112184E-2</c:v>
                </c:pt>
                <c:pt idx="14">
                  <c:v>2.9538128817943876E-3</c:v>
                </c:pt>
                <c:pt idx="15">
                  <c:v>-1.4862424736947405E-2</c:v>
                </c:pt>
                <c:pt idx="16">
                  <c:v>-4.1237222825103517E-2</c:v>
                </c:pt>
                <c:pt idx="17">
                  <c:v>-7.6170581382673963E-2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84-4E05-BCCB-065CD498D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585744"/>
        <c:axId val="1"/>
      </c:scatterChart>
      <c:valAx>
        <c:axId val="37158574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8544536771617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58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00355600711198"/>
          <c:y val="0.93195266272189348"/>
          <c:w val="0.4915522656442138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496964719900806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58352274216564E-2"/>
          <c:y val="0.10619499618304118"/>
          <c:w val="0.87423378354595804"/>
          <c:h val="0.71976608524061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1'!$H$21:$H$994</c:f>
              <c:numCache>
                <c:formatCode>0.0000</c:formatCode>
                <c:ptCount val="974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4D-4F9D-8721-518AA42C9B1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4D-4F9D-8721-518AA42C9B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4D-4F9D-8721-518AA42C9B19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4D-4F9D-8721-518AA42C9B19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1'!$O$21:$O$994</c:f>
              <c:numCache>
                <c:formatCode>0.0000</c:formatCode>
                <c:ptCount val="974"/>
                <c:pt idx="5">
                  <c:v>0.21511123608906121</c:v>
                </c:pt>
                <c:pt idx="13">
                  <c:v>7.1870259263278904E-2</c:v>
                </c:pt>
                <c:pt idx="14">
                  <c:v>7.146240366744E-2</c:v>
                </c:pt>
                <c:pt idx="15">
                  <c:v>6.8638788003939868E-2</c:v>
                </c:pt>
                <c:pt idx="16">
                  <c:v>6.777601655120373E-2</c:v>
                </c:pt>
                <c:pt idx="17">
                  <c:v>6.7765558715412982E-2</c:v>
                </c:pt>
                <c:pt idx="18">
                  <c:v>6.7755100879622235E-2</c:v>
                </c:pt>
                <c:pt idx="19">
                  <c:v>6.7746386016463295E-2</c:v>
                </c:pt>
                <c:pt idx="20">
                  <c:v>6.7746386016463295E-2</c:v>
                </c:pt>
                <c:pt idx="21">
                  <c:v>3.5686147427314331E-2</c:v>
                </c:pt>
                <c:pt idx="22">
                  <c:v>3.5598998795724819E-2</c:v>
                </c:pt>
                <c:pt idx="23">
                  <c:v>3.5327095065165549E-2</c:v>
                </c:pt>
                <c:pt idx="24">
                  <c:v>3.324249979754447E-2</c:v>
                </c:pt>
                <c:pt idx="25">
                  <c:v>3.1649422812088226E-2</c:v>
                </c:pt>
                <c:pt idx="26">
                  <c:v>6.4373236932429648E-3</c:v>
                </c:pt>
                <c:pt idx="27">
                  <c:v>4.3492424803583118E-3</c:v>
                </c:pt>
                <c:pt idx="28">
                  <c:v>4.3004392466681751E-3</c:v>
                </c:pt>
                <c:pt idx="29">
                  <c:v>4.2655797940323731E-3</c:v>
                </c:pt>
                <c:pt idx="30">
                  <c:v>4.2516360129780523E-3</c:v>
                </c:pt>
                <c:pt idx="31">
                  <c:v>4.1052263119076837E-3</c:v>
                </c:pt>
                <c:pt idx="32">
                  <c:v>4.0302784887406989E-3</c:v>
                </c:pt>
                <c:pt idx="33">
                  <c:v>1.3408717178884227E-3</c:v>
                </c:pt>
                <c:pt idx="34">
                  <c:v>-2.5686158952170079E-3</c:v>
                </c:pt>
                <c:pt idx="35">
                  <c:v>-2.7411701857642246E-3</c:v>
                </c:pt>
                <c:pt idx="36">
                  <c:v>-7.0253969147045514E-3</c:v>
                </c:pt>
                <c:pt idx="37">
                  <c:v>-9.4620726539472455E-3</c:v>
                </c:pt>
                <c:pt idx="38">
                  <c:v>-9.4638156265790391E-3</c:v>
                </c:pt>
                <c:pt idx="39">
                  <c:v>-9.4725304897379931E-3</c:v>
                </c:pt>
                <c:pt idx="40">
                  <c:v>-9.4812453528969332E-3</c:v>
                </c:pt>
                <c:pt idx="41">
                  <c:v>-9.4812453528969332E-3</c:v>
                </c:pt>
                <c:pt idx="42">
                  <c:v>-9.4829883255287267E-3</c:v>
                </c:pt>
                <c:pt idx="43">
                  <c:v>-9.5126188602691619E-3</c:v>
                </c:pt>
                <c:pt idx="44">
                  <c:v>-9.8089242076735E-3</c:v>
                </c:pt>
                <c:pt idx="45">
                  <c:v>-9.8280969066231877E-3</c:v>
                </c:pt>
                <c:pt idx="46">
                  <c:v>-9.9326752645306077E-3</c:v>
                </c:pt>
                <c:pt idx="47">
                  <c:v>-1.3425592418638166E-2</c:v>
                </c:pt>
                <c:pt idx="48">
                  <c:v>-1.3972885825020293E-2</c:v>
                </c:pt>
                <c:pt idx="49">
                  <c:v>-1.399205852396998E-2</c:v>
                </c:pt>
                <c:pt idx="50">
                  <c:v>-1.640433264636762E-2</c:v>
                </c:pt>
                <c:pt idx="51">
                  <c:v>-1.651762586743398E-2</c:v>
                </c:pt>
                <c:pt idx="52">
                  <c:v>-1.7094549808556542E-2</c:v>
                </c:pt>
                <c:pt idx="53">
                  <c:v>-1.7111979534874436E-2</c:v>
                </c:pt>
                <c:pt idx="54">
                  <c:v>-1.7113722507506229E-2</c:v>
                </c:pt>
                <c:pt idx="55">
                  <c:v>-1.7171240604355306E-2</c:v>
                </c:pt>
                <c:pt idx="56">
                  <c:v>-1.7207843029622902E-2</c:v>
                </c:pt>
                <c:pt idx="57">
                  <c:v>-2.0484631577388474E-2</c:v>
                </c:pt>
                <c:pt idx="58">
                  <c:v>-2.0502061303706381E-2</c:v>
                </c:pt>
                <c:pt idx="59">
                  <c:v>-2.3463371805117927E-2</c:v>
                </c:pt>
                <c:pt idx="60">
                  <c:v>-2.4136159240988955E-2</c:v>
                </c:pt>
                <c:pt idx="61">
                  <c:v>-2.4796745868437442E-2</c:v>
                </c:pt>
                <c:pt idx="62">
                  <c:v>-2.7114899468718409E-2</c:v>
                </c:pt>
                <c:pt idx="63">
                  <c:v>-2.7421662651913481E-2</c:v>
                </c:pt>
                <c:pt idx="64">
                  <c:v>-2.8134538458315678E-2</c:v>
                </c:pt>
                <c:pt idx="65">
                  <c:v>-2.8153711157265365E-2</c:v>
                </c:pt>
                <c:pt idx="66">
                  <c:v>-2.8251317624645611E-2</c:v>
                </c:pt>
                <c:pt idx="67">
                  <c:v>-2.8357638955184811E-2</c:v>
                </c:pt>
                <c:pt idx="68">
                  <c:v>-2.8357638955184811E-2</c:v>
                </c:pt>
                <c:pt idx="69">
                  <c:v>-2.8357638955184811E-2</c:v>
                </c:pt>
                <c:pt idx="70">
                  <c:v>-3.0569471224926578E-2</c:v>
                </c:pt>
                <c:pt idx="71">
                  <c:v>-3.0818716311272587E-2</c:v>
                </c:pt>
                <c:pt idx="72">
                  <c:v>-3.1118507603940498E-2</c:v>
                </c:pt>
                <c:pt idx="73">
                  <c:v>-3.1317206483964577E-2</c:v>
                </c:pt>
                <c:pt idx="74">
                  <c:v>-3.4689858526478615E-2</c:v>
                </c:pt>
                <c:pt idx="75">
                  <c:v>-3.5000107654937274E-2</c:v>
                </c:pt>
                <c:pt idx="76">
                  <c:v>-3.7947474375294499E-2</c:v>
                </c:pt>
                <c:pt idx="77">
                  <c:v>-4.1489194763092194E-2</c:v>
                </c:pt>
                <c:pt idx="78">
                  <c:v>-4.1841275234713815E-2</c:v>
                </c:pt>
                <c:pt idx="79">
                  <c:v>-4.1980713045257023E-2</c:v>
                </c:pt>
                <c:pt idx="80">
                  <c:v>-4.1980713045257023E-2</c:v>
                </c:pt>
                <c:pt idx="81">
                  <c:v>-4.1980713045257023E-2</c:v>
                </c:pt>
                <c:pt idx="82">
                  <c:v>-4.1980713045257023E-2</c:v>
                </c:pt>
                <c:pt idx="83">
                  <c:v>-4.1980713045257023E-2</c:v>
                </c:pt>
                <c:pt idx="84">
                  <c:v>-4.1980713045257023E-2</c:v>
                </c:pt>
                <c:pt idx="85">
                  <c:v>-4.1980713045257023E-2</c:v>
                </c:pt>
                <c:pt idx="86">
                  <c:v>-4.1980713045257023E-2</c:v>
                </c:pt>
                <c:pt idx="87">
                  <c:v>-4.2236930022130192E-2</c:v>
                </c:pt>
                <c:pt idx="88">
                  <c:v>-4.2236930022130192E-2</c:v>
                </c:pt>
                <c:pt idx="89">
                  <c:v>-4.8924716010309191E-2</c:v>
                </c:pt>
                <c:pt idx="90">
                  <c:v>-4.8994434915580795E-2</c:v>
                </c:pt>
                <c:pt idx="91">
                  <c:v>-5.2651191497076644E-2</c:v>
                </c:pt>
                <c:pt idx="92">
                  <c:v>-5.6184197021715371E-2</c:v>
                </c:pt>
                <c:pt idx="93">
                  <c:v>-5.6184197021715371E-2</c:v>
                </c:pt>
                <c:pt idx="94">
                  <c:v>-5.6184197021715371E-2</c:v>
                </c:pt>
                <c:pt idx="95">
                  <c:v>-6.4051975481616341E-2</c:v>
                </c:pt>
                <c:pt idx="96">
                  <c:v>-6.9992026210757341E-2</c:v>
                </c:pt>
                <c:pt idx="97">
                  <c:v>-6.9992026210757341E-2</c:v>
                </c:pt>
                <c:pt idx="98">
                  <c:v>-6.9992026210757341E-2</c:v>
                </c:pt>
                <c:pt idx="99">
                  <c:v>-7.0176781309727099E-2</c:v>
                </c:pt>
                <c:pt idx="100">
                  <c:v>-7.0176781309727099E-2</c:v>
                </c:pt>
                <c:pt idx="101">
                  <c:v>-7.0176781309727099E-2</c:v>
                </c:pt>
                <c:pt idx="102">
                  <c:v>-7.0457399903445322E-2</c:v>
                </c:pt>
                <c:pt idx="103">
                  <c:v>-7.0506203137135459E-2</c:v>
                </c:pt>
                <c:pt idx="104">
                  <c:v>-7.3087545604816756E-2</c:v>
                </c:pt>
                <c:pt idx="105">
                  <c:v>-7.3087545604816756E-2</c:v>
                </c:pt>
                <c:pt idx="106">
                  <c:v>-7.3359449335376026E-2</c:v>
                </c:pt>
                <c:pt idx="107">
                  <c:v>-7.3359449335376026E-2</c:v>
                </c:pt>
                <c:pt idx="108">
                  <c:v>-7.3359449335376026E-2</c:v>
                </c:pt>
                <c:pt idx="109">
                  <c:v>-7.6629265992614437E-2</c:v>
                </c:pt>
                <c:pt idx="110">
                  <c:v>-7.6629265992614437E-2</c:v>
                </c:pt>
                <c:pt idx="111">
                  <c:v>-7.685236648948357E-2</c:v>
                </c:pt>
                <c:pt idx="112">
                  <c:v>-7.685236648948357E-2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4D-4F9D-8721-518AA42C9B19}"/>
            </c:ext>
          </c:extLst>
        </c:ser>
        <c:ser>
          <c:idx val="8"/>
          <c:order val="5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1'!$W$2:$W$19</c:f>
              <c:numCache>
                <c:formatCode>0.00E+00</c:formatCode>
                <c:ptCount val="18"/>
                <c:pt idx="0">
                  <c:v>-0.64626770974432546</c:v>
                </c:pt>
                <c:pt idx="1">
                  <c:v>-0.54426410079126664</c:v>
                </c:pt>
                <c:pt idx="2">
                  <c:v>-0.45081905230762209</c:v>
                </c:pt>
                <c:pt idx="3">
                  <c:v>-0.36593256429339188</c:v>
                </c:pt>
                <c:pt idx="4">
                  <c:v>-0.28960463674857601</c:v>
                </c:pt>
                <c:pt idx="5">
                  <c:v>-0.22183526967317449</c:v>
                </c:pt>
                <c:pt idx="6">
                  <c:v>-0.16262446306718728</c:v>
                </c:pt>
                <c:pt idx="7">
                  <c:v>-0.1119722169306144</c:v>
                </c:pt>
                <c:pt idx="8">
                  <c:v>-6.9878531263455876E-2</c:v>
                </c:pt>
                <c:pt idx="9">
                  <c:v>-3.6343406065711667E-2</c:v>
                </c:pt>
                <c:pt idx="10">
                  <c:v>-1.136684133738179E-2</c:v>
                </c:pt>
                <c:pt idx="11">
                  <c:v>5.0511629215337526E-3</c:v>
                </c:pt>
                <c:pt idx="12">
                  <c:v>1.2910606711034962E-2</c:v>
                </c:pt>
                <c:pt idx="13">
                  <c:v>1.221149003112184E-2</c:v>
                </c:pt>
                <c:pt idx="14">
                  <c:v>2.9538128817943876E-3</c:v>
                </c:pt>
                <c:pt idx="15">
                  <c:v>-1.4862424736947405E-2</c:v>
                </c:pt>
                <c:pt idx="16">
                  <c:v>-4.1237222825103517E-2</c:v>
                </c:pt>
                <c:pt idx="17">
                  <c:v>-7.6170581382673963E-2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4D-4F9D-8721-518AA42C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1624"/>
        <c:axId val="1"/>
      </c:scatterChart>
      <c:valAx>
        <c:axId val="418031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27026069594062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687116564417178E-3"/>
              <c:y val="0.3775823597271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61365795533224"/>
          <c:y val="0.93215617959259511"/>
          <c:w val="0.4907978680579037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VZ Lib -- [44788.5950, 0.35825797].</a:t>
            </a:r>
          </a:p>
        </c:rich>
      </c:tx>
      <c:layout>
        <c:manualLayout>
          <c:xMode val="edge"/>
          <c:yMode val="edge"/>
          <c:x val="0.17419399994355544"/>
          <c:y val="1.968503937007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4173228346456693"/>
          <c:w val="0.84731360742945105"/>
          <c:h val="0.72047244094488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1'!$H$21:$H$994</c:f>
              <c:numCache>
                <c:formatCode>0.0000</c:formatCode>
                <c:ptCount val="974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0-4181-961F-4C5F35A5D50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0-4181-961F-4C5F35A5D50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0-4181-961F-4C5F35A5D508}"/>
            </c:ext>
          </c:extLst>
        </c:ser>
        <c:ser>
          <c:idx val="2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0-4181-961F-4C5F35A5D50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1'!$L$21:$L$994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0-4181-961F-4C5F35A5D50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1'!$M$21:$M$994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0-4181-961F-4C5F35A5D50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1'!$N$21:$N$994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0-4181-961F-4C5F35A5D508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1'!$W$2:$W$19</c:f>
              <c:numCache>
                <c:formatCode>0.00E+00</c:formatCode>
                <c:ptCount val="18"/>
                <c:pt idx="0">
                  <c:v>-0.64626770974432546</c:v>
                </c:pt>
                <c:pt idx="1">
                  <c:v>-0.54426410079126664</c:v>
                </c:pt>
                <c:pt idx="2">
                  <c:v>-0.45081905230762209</c:v>
                </c:pt>
                <c:pt idx="3">
                  <c:v>-0.36593256429339188</c:v>
                </c:pt>
                <c:pt idx="4">
                  <c:v>-0.28960463674857601</c:v>
                </c:pt>
                <c:pt idx="5">
                  <c:v>-0.22183526967317449</c:v>
                </c:pt>
                <c:pt idx="6">
                  <c:v>-0.16262446306718728</c:v>
                </c:pt>
                <c:pt idx="7">
                  <c:v>-0.1119722169306144</c:v>
                </c:pt>
                <c:pt idx="8">
                  <c:v>-6.9878531263455876E-2</c:v>
                </c:pt>
                <c:pt idx="9">
                  <c:v>-3.6343406065711667E-2</c:v>
                </c:pt>
                <c:pt idx="10">
                  <c:v>-1.136684133738179E-2</c:v>
                </c:pt>
                <c:pt idx="11">
                  <c:v>5.0511629215337526E-3</c:v>
                </c:pt>
                <c:pt idx="12">
                  <c:v>1.2910606711034962E-2</c:v>
                </c:pt>
                <c:pt idx="13">
                  <c:v>1.221149003112184E-2</c:v>
                </c:pt>
                <c:pt idx="14">
                  <c:v>2.9538128817943876E-3</c:v>
                </c:pt>
                <c:pt idx="15">
                  <c:v>-1.4862424736947405E-2</c:v>
                </c:pt>
                <c:pt idx="16">
                  <c:v>-4.1237222825103517E-2</c:v>
                </c:pt>
                <c:pt idx="17">
                  <c:v>-7.6170581382673963E-2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0-4181-961F-4C5F35A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29328"/>
        <c:axId val="1"/>
      </c:scatterChart>
      <c:valAx>
        <c:axId val="41802932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293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40412497018554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2'!$H$21:$H$1000</c:f>
              <c:numCache>
                <c:formatCode>0.0000</c:formatCode>
                <c:ptCount val="980"/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74-4026-9EC8-FA3839B8AD1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2'!$I$21:$I$1000</c:f>
              <c:numCache>
                <c:formatCode>0.0000</c:formatCode>
                <c:ptCount val="980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74-4026-9EC8-FA3839B8AD1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2'!$J$21:$J$1000</c:f>
              <c:numCache>
                <c:formatCode>0.0000</c:formatCode>
                <c:ptCount val="980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74-4026-9EC8-FA3839B8AD1D}"/>
            </c:ext>
          </c:extLst>
        </c:ser>
        <c:ser>
          <c:idx val="2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2'!$K$21:$K$1000</c:f>
              <c:numCache>
                <c:formatCode>0.0000</c:formatCode>
                <c:ptCount val="980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-3.7680524997995235E-2</c:v>
                </c:pt>
                <c:pt idx="81">
                  <c:v>-3.749052499915706E-2</c:v>
                </c:pt>
                <c:pt idx="82">
                  <c:v>-3.690052499587182E-2</c:v>
                </c:pt>
                <c:pt idx="83">
                  <c:v>-3.9501320003182627E-2</c:v>
                </c:pt>
                <c:pt idx="84">
                  <c:v>-5.0316765191382729E-2</c:v>
                </c:pt>
                <c:pt idx="85">
                  <c:v>-4.9376165159628727E-2</c:v>
                </c:pt>
                <c:pt idx="86">
                  <c:v>-5.1786695003102068E-2</c:v>
                </c:pt>
                <c:pt idx="87">
                  <c:v>-6.1739289994875435E-2</c:v>
                </c:pt>
                <c:pt idx="88">
                  <c:v>-6.1039289998007007E-2</c:v>
                </c:pt>
                <c:pt idx="89">
                  <c:v>-6.0339290001138579E-2</c:v>
                </c:pt>
                <c:pt idx="90">
                  <c:v>-7.0277580001857132E-2</c:v>
                </c:pt>
                <c:pt idx="91">
                  <c:v>-7.4458460003370419E-2</c:v>
                </c:pt>
                <c:pt idx="92">
                  <c:v>-7.2458460002962966E-2</c:v>
                </c:pt>
                <c:pt idx="93">
                  <c:v>-7.2458460002962966E-2</c:v>
                </c:pt>
                <c:pt idx="94">
                  <c:v>-7.3930869999458082E-2</c:v>
                </c:pt>
                <c:pt idx="95">
                  <c:v>-7.3730869997234549E-2</c:v>
                </c:pt>
                <c:pt idx="96">
                  <c:v>-7.1030869999958668E-2</c:v>
                </c:pt>
                <c:pt idx="97">
                  <c:v>-6.8897454999387264E-2</c:v>
                </c:pt>
                <c:pt idx="98">
                  <c:v>-6.9509035005467013E-2</c:v>
                </c:pt>
                <c:pt idx="99">
                  <c:v>-7.0535819912038278E-2</c:v>
                </c:pt>
                <c:pt idx="100">
                  <c:v>-6.8535820049874019E-2</c:v>
                </c:pt>
                <c:pt idx="101">
                  <c:v>-7.1657479944406077E-2</c:v>
                </c:pt>
                <c:pt idx="102">
                  <c:v>-7.0657479780493304E-2</c:v>
                </c:pt>
                <c:pt idx="103">
                  <c:v>-6.7657480220077559E-2</c:v>
                </c:pt>
                <c:pt idx="104">
                  <c:v>-7.9633340232248884E-2</c:v>
                </c:pt>
                <c:pt idx="105">
                  <c:v>-7.8633340068336111E-2</c:v>
                </c:pt>
                <c:pt idx="106">
                  <c:v>-8.9143420002073981E-2</c:v>
                </c:pt>
                <c:pt idx="107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74-4026-9EC8-FA3839B8AD1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2'!$L$21:$L$1000</c:f>
              <c:numCache>
                <c:formatCode>0.0000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74-4026-9EC8-FA3839B8AD1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2'!$M$21:$M$1000</c:f>
              <c:numCache>
                <c:formatCode>0.0000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74-4026-9EC8-FA3839B8AD1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2'!$N$21:$N$1000</c:f>
              <c:numCache>
                <c:formatCode>0.0000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74-4026-9EC8-FA3839B8AD1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2'!$O$21:$O$1000</c:f>
              <c:numCache>
                <c:formatCode>0.0000</c:formatCode>
                <c:ptCount val="980"/>
                <c:pt idx="5">
                  <c:v>0.21571612378427496</c:v>
                </c:pt>
                <c:pt idx="13">
                  <c:v>7.1979392206531823E-2</c:v>
                </c:pt>
                <c:pt idx="14">
                  <c:v>7.1570125028935852E-2</c:v>
                </c:pt>
                <c:pt idx="15">
                  <c:v>6.8736736876348375E-2</c:v>
                </c:pt>
                <c:pt idx="16">
                  <c:v>6.7870979385279973E-2</c:v>
                </c:pt>
                <c:pt idx="17">
                  <c:v>6.7860485355085209E-2</c:v>
                </c:pt>
                <c:pt idx="18">
                  <c:v>6.7849991324890446E-2</c:v>
                </c:pt>
                <c:pt idx="19">
                  <c:v>6.7841246299728139E-2</c:v>
                </c:pt>
                <c:pt idx="20">
                  <c:v>6.7841246299728139E-2</c:v>
                </c:pt>
                <c:pt idx="21">
                  <c:v>3.5670047732633055E-2</c:v>
                </c:pt>
                <c:pt idx="22">
                  <c:v>3.5582597481009989E-2</c:v>
                </c:pt>
                <c:pt idx="23">
                  <c:v>3.5309752695946009E-2</c:v>
                </c:pt>
                <c:pt idx="24">
                  <c:v>3.3217942677122171E-2</c:v>
                </c:pt>
                <c:pt idx="25">
                  <c:v>3.1619352077452444E-2</c:v>
                </c:pt>
                <c:pt idx="26">
                  <c:v>6.3199942828982281E-3</c:v>
                </c:pt>
                <c:pt idx="27">
                  <c:v>4.2246862540094576E-3</c:v>
                </c:pt>
                <c:pt idx="28">
                  <c:v>4.1757141131005399E-3</c:v>
                </c:pt>
                <c:pt idx="29">
                  <c:v>4.1407340124513109E-3</c:v>
                </c:pt>
                <c:pt idx="30">
                  <c:v>4.1267419721916221E-3</c:v>
                </c:pt>
                <c:pt idx="31">
                  <c:v>3.9798255494648688E-3</c:v>
                </c:pt>
                <c:pt idx="32">
                  <c:v>3.9046183330690293E-3</c:v>
                </c:pt>
                <c:pt idx="33">
                  <c:v>1.2059035679810731E-3</c:v>
                </c:pt>
                <c:pt idx="34">
                  <c:v>-2.7171147198298551E-3</c:v>
                </c:pt>
                <c:pt idx="35">
                  <c:v>-2.8902662180435301E-3</c:v>
                </c:pt>
                <c:pt idx="36">
                  <c:v>-7.1893205878336697E-3</c:v>
                </c:pt>
                <c:pt idx="37">
                  <c:v>-9.634429623214702E-3</c:v>
                </c:pt>
                <c:pt idx="38">
                  <c:v>-9.6361786282471718E-3</c:v>
                </c:pt>
                <c:pt idx="39">
                  <c:v>-9.644923653409479E-3</c:v>
                </c:pt>
                <c:pt idx="40">
                  <c:v>-9.6536686785717862E-3</c:v>
                </c:pt>
                <c:pt idx="41">
                  <c:v>-9.6536686785717862E-3</c:v>
                </c:pt>
                <c:pt idx="42">
                  <c:v>-9.6554176836042421E-3</c:v>
                </c:pt>
                <c:pt idx="43">
                  <c:v>-9.6851507691560895E-3</c:v>
                </c:pt>
                <c:pt idx="44">
                  <c:v>-9.9824816246745218E-3</c:v>
                </c:pt>
                <c:pt idx="45">
                  <c:v>-1.0001720680031606E-2</c:v>
                </c:pt>
                <c:pt idx="46">
                  <c:v>-1.0106660981979279E-2</c:v>
                </c:pt>
                <c:pt idx="47">
                  <c:v>-1.3611667067031943E-2</c:v>
                </c:pt>
                <c:pt idx="48">
                  <c:v>-1.4160854647224816E-2</c:v>
                </c:pt>
                <c:pt idx="49">
                  <c:v>-1.41800937025819E-2</c:v>
                </c:pt>
                <c:pt idx="50">
                  <c:v>-1.6600716667508481E-2</c:v>
                </c:pt>
                <c:pt idx="51">
                  <c:v>-1.6714401994618475E-2</c:v>
                </c:pt>
                <c:pt idx="52">
                  <c:v>-1.7293322660363195E-2</c:v>
                </c:pt>
                <c:pt idx="53">
                  <c:v>-1.7310812710687809E-2</c:v>
                </c:pt>
                <c:pt idx="54">
                  <c:v>-1.7312561715720279E-2</c:v>
                </c:pt>
                <c:pt idx="55">
                  <c:v>-1.7370278881791504E-2</c:v>
                </c:pt>
                <c:pt idx="56">
                  <c:v>-1.7407007987473189E-2</c:v>
                </c:pt>
                <c:pt idx="57">
                  <c:v>-2.0695137448500628E-2</c:v>
                </c:pt>
                <c:pt idx="58">
                  <c:v>-2.0712627498825242E-2</c:v>
                </c:pt>
                <c:pt idx="59">
                  <c:v>-2.3684187048977165E-2</c:v>
                </c:pt>
                <c:pt idx="60">
                  <c:v>-2.4359302991507278E-2</c:v>
                </c:pt>
                <c:pt idx="61">
                  <c:v>-2.5022175898810145E-2</c:v>
                </c:pt>
                <c:pt idx="62">
                  <c:v>-2.7348352591983816E-2</c:v>
                </c:pt>
                <c:pt idx="63">
                  <c:v>-2.7656177477697025E-2</c:v>
                </c:pt>
                <c:pt idx="64">
                  <c:v>-2.8371520535973735E-2</c:v>
                </c:pt>
                <c:pt idx="65">
                  <c:v>-2.8390759591330805E-2</c:v>
                </c:pt>
                <c:pt idx="66">
                  <c:v>-2.8488703873148655E-2</c:v>
                </c:pt>
                <c:pt idx="67">
                  <c:v>-2.8595393180128797E-2</c:v>
                </c:pt>
                <c:pt idx="68">
                  <c:v>-2.8595393180128797E-2</c:v>
                </c:pt>
                <c:pt idx="69">
                  <c:v>-2.8595393180128797E-2</c:v>
                </c:pt>
                <c:pt idx="70">
                  <c:v>-3.0814880566322311E-2</c:v>
                </c:pt>
                <c:pt idx="71">
                  <c:v>-3.1064988285964296E-2</c:v>
                </c:pt>
                <c:pt idx="72">
                  <c:v>-3.1365817151547654E-2</c:v>
                </c:pt>
                <c:pt idx="73">
                  <c:v>-3.1565203725248264E-2</c:v>
                </c:pt>
                <c:pt idx="74">
                  <c:v>-3.4949528463061083E-2</c:v>
                </c:pt>
                <c:pt idx="75">
                  <c:v>-3.5260851358839204E-2</c:v>
                </c:pt>
                <c:pt idx="76">
                  <c:v>-3.8218418868731438E-2</c:v>
                </c:pt>
                <c:pt idx="77">
                  <c:v>-4.177239709469302E-2</c:v>
                </c:pt>
                <c:pt idx="78">
                  <c:v>-4.2125696111250222E-2</c:v>
                </c:pt>
                <c:pt idx="79">
                  <c:v>-4.2265616513847137E-2</c:v>
                </c:pt>
                <c:pt idx="80">
                  <c:v>-4.2265616513847137E-2</c:v>
                </c:pt>
                <c:pt idx="81">
                  <c:v>-4.2265616513847137E-2</c:v>
                </c:pt>
                <c:pt idx="82">
                  <c:v>-4.2265616513847137E-2</c:v>
                </c:pt>
                <c:pt idx="83">
                  <c:v>-4.2522720253618959E-2</c:v>
                </c:pt>
                <c:pt idx="84">
                  <c:v>-4.9233652563173372E-2</c:v>
                </c:pt>
                <c:pt idx="85">
                  <c:v>-4.930361276447183E-2</c:v>
                </c:pt>
                <c:pt idx="86">
                  <c:v>-5.2973025322575848E-2</c:v>
                </c:pt>
                <c:pt idx="87">
                  <c:v>-5.6518258523375123E-2</c:v>
                </c:pt>
                <c:pt idx="88">
                  <c:v>-5.6518258523375123E-2</c:v>
                </c:pt>
                <c:pt idx="89">
                  <c:v>-5.6518258523375123E-2</c:v>
                </c:pt>
                <c:pt idx="90">
                  <c:v>-6.4413267239905897E-2</c:v>
                </c:pt>
                <c:pt idx="91">
                  <c:v>-7.0373876390534357E-2</c:v>
                </c:pt>
                <c:pt idx="92">
                  <c:v>-7.0373876390534357E-2</c:v>
                </c:pt>
                <c:pt idx="93">
                  <c:v>-7.0373876390534357E-2</c:v>
                </c:pt>
                <c:pt idx="94">
                  <c:v>-7.0559270923975265E-2</c:v>
                </c:pt>
                <c:pt idx="95">
                  <c:v>-7.0559270923975265E-2</c:v>
                </c:pt>
                <c:pt idx="96">
                  <c:v>-7.0559270923975265E-2</c:v>
                </c:pt>
                <c:pt idx="97">
                  <c:v>-7.0840860734201566E-2</c:v>
                </c:pt>
                <c:pt idx="98">
                  <c:v>-7.088983287511047E-2</c:v>
                </c:pt>
                <c:pt idx="99">
                  <c:v>-7.3480109328185828E-2</c:v>
                </c:pt>
                <c:pt idx="100">
                  <c:v>-7.3480109328185828E-2</c:v>
                </c:pt>
                <c:pt idx="101">
                  <c:v>-7.3752954113249808E-2</c:v>
                </c:pt>
                <c:pt idx="102">
                  <c:v>-7.3752954113249808E-2</c:v>
                </c:pt>
                <c:pt idx="103">
                  <c:v>-7.3752954113249808E-2</c:v>
                </c:pt>
                <c:pt idx="104">
                  <c:v>-7.7034087554147396E-2</c:v>
                </c:pt>
                <c:pt idx="105">
                  <c:v>-7.7034087554147396E-2</c:v>
                </c:pt>
                <c:pt idx="106">
                  <c:v>-7.7257960198302444E-2</c:v>
                </c:pt>
                <c:pt idx="107">
                  <c:v>-7.7257960198302444E-2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74-4026-9EC8-FA3839B8AD1D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</c:numCache>
            </c:numRef>
          </c:xVal>
          <c:yVal>
            <c:numRef>
              <c:f>'Active 2'!$W$2:$W$19</c:f>
              <c:numCache>
                <c:formatCode>0.00E+00</c:formatCode>
                <c:ptCount val="18"/>
                <c:pt idx="0">
                  <c:v>-1.8023488817320413E-2</c:v>
                </c:pt>
                <c:pt idx="1">
                  <c:v>-1.0863573605687999E-2</c:v>
                </c:pt>
                <c:pt idx="2">
                  <c:v>-4.9837390474862181E-3</c:v>
                </c:pt>
                <c:pt idx="3">
                  <c:v>-3.8398514271506859E-4</c:v>
                </c:pt>
                <c:pt idx="4">
                  <c:v>2.9356881086254494E-3</c:v>
                </c:pt>
                <c:pt idx="5">
                  <c:v>4.9752807065353375E-3</c:v>
                </c:pt>
                <c:pt idx="6">
                  <c:v>5.7347926510145919E-3</c:v>
                </c:pt>
                <c:pt idx="7">
                  <c:v>5.2142239420632161E-3</c:v>
                </c:pt>
                <c:pt idx="8">
                  <c:v>3.4135745796812084E-3</c:v>
                </c:pt>
                <c:pt idx="9">
                  <c:v>3.328445638685687E-4</c:v>
                </c:pt>
                <c:pt idx="10">
                  <c:v>-4.0279661053747029E-3</c:v>
                </c:pt>
                <c:pt idx="11">
                  <c:v>-9.6688574280485995E-3</c:v>
                </c:pt>
                <c:pt idx="12">
                  <c:v>-1.6589829404153135E-2</c:v>
                </c:pt>
                <c:pt idx="13">
                  <c:v>-2.4790882033688302E-2</c:v>
                </c:pt>
                <c:pt idx="14">
                  <c:v>-3.4272015316654102E-2</c:v>
                </c:pt>
                <c:pt idx="15">
                  <c:v>-4.5033229253050533E-2</c:v>
                </c:pt>
                <c:pt idx="16">
                  <c:v>-5.7074523842877589E-2</c:v>
                </c:pt>
                <c:pt idx="17">
                  <c:v>-7.0395899086135291E-2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74-4026-9EC8-FA3839B8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4104"/>
        <c:axId val="1"/>
      </c:scatterChart>
      <c:valAx>
        <c:axId val="41736410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52154367800806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5992315476694"/>
          <c:y val="0.93195266272189348"/>
          <c:w val="0.7281117279694876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1c.  VZ Lib -- [44788.5950, 0.35825797].</a:t>
            </a:r>
          </a:p>
        </c:rich>
      </c:tx>
      <c:layout>
        <c:manualLayout>
          <c:xMode val="edge"/>
          <c:yMode val="edge"/>
          <c:x val="0.18987386070412082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46613443214011E-2"/>
          <c:y val="0.14117701124774529"/>
          <c:w val="0.8544321400978625"/>
          <c:h val="0.7215713908218092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2'!$G$21:$G$1000</c:f>
              <c:numCache>
                <c:formatCode>0.0000</c:formatCode>
                <c:ptCount val="980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  <c:pt idx="24">
                  <c:v>1.8294104993401561E-2</c:v>
                </c:pt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29">
                  <c:v>-7.1815199989941902E-3</c:v>
                </c:pt>
                <c:pt idx="30">
                  <c:v>8.7865999958012253E-3</c:v>
                </c:pt>
                <c:pt idx="31">
                  <c:v>-1.0481400022399612E-3</c:v>
                </c:pt>
                <c:pt idx="32">
                  <c:v>-7.7471000258810818E-4</c:v>
                </c:pt>
                <c:pt idx="33">
                  <c:v>3.8165000296430662E-4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-3.7680524997995235E-2</c:v>
                </c:pt>
                <c:pt idx="81">
                  <c:v>-3.749052499915706E-2</c:v>
                </c:pt>
                <c:pt idx="82">
                  <c:v>-3.690052499587182E-2</c:v>
                </c:pt>
                <c:pt idx="83">
                  <c:v>-3.9501320003182627E-2</c:v>
                </c:pt>
                <c:pt idx="84">
                  <c:v>-5.0316765191382729E-2</c:v>
                </c:pt>
                <c:pt idx="85">
                  <c:v>-4.9376165159628727E-2</c:v>
                </c:pt>
                <c:pt idx="86">
                  <c:v>-5.1786695003102068E-2</c:v>
                </c:pt>
                <c:pt idx="87">
                  <c:v>-6.1739289994875435E-2</c:v>
                </c:pt>
                <c:pt idx="88">
                  <c:v>-6.1039289998007007E-2</c:v>
                </c:pt>
                <c:pt idx="89">
                  <c:v>-6.0339290001138579E-2</c:v>
                </c:pt>
                <c:pt idx="90">
                  <c:v>-7.0277580001857132E-2</c:v>
                </c:pt>
                <c:pt idx="91">
                  <c:v>-7.4458460003370419E-2</c:v>
                </c:pt>
                <c:pt idx="92">
                  <c:v>-7.2458460002962966E-2</c:v>
                </c:pt>
                <c:pt idx="93">
                  <c:v>-7.2458460002962966E-2</c:v>
                </c:pt>
                <c:pt idx="94">
                  <c:v>-7.3930869999458082E-2</c:v>
                </c:pt>
                <c:pt idx="95">
                  <c:v>-7.3730869997234549E-2</c:v>
                </c:pt>
                <c:pt idx="96">
                  <c:v>-7.1030869999958668E-2</c:v>
                </c:pt>
                <c:pt idx="97">
                  <c:v>-6.8897454999387264E-2</c:v>
                </c:pt>
                <c:pt idx="98">
                  <c:v>-6.9509035005467013E-2</c:v>
                </c:pt>
                <c:pt idx="99">
                  <c:v>-7.0535819912038278E-2</c:v>
                </c:pt>
                <c:pt idx="100">
                  <c:v>-6.8535820049874019E-2</c:v>
                </c:pt>
                <c:pt idx="101">
                  <c:v>-7.1657479944406077E-2</c:v>
                </c:pt>
                <c:pt idx="102">
                  <c:v>-7.0657479780493304E-2</c:v>
                </c:pt>
                <c:pt idx="103">
                  <c:v>-6.7657480220077559E-2</c:v>
                </c:pt>
                <c:pt idx="104">
                  <c:v>-7.9633340232248884E-2</c:v>
                </c:pt>
                <c:pt idx="105">
                  <c:v>-7.8633340068336111E-2</c:v>
                </c:pt>
                <c:pt idx="106">
                  <c:v>-8.9143420002073981E-2</c:v>
                </c:pt>
                <c:pt idx="107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5-403C-B148-928C94041655}"/>
            </c:ext>
          </c:extLst>
        </c:ser>
        <c:ser>
          <c:idx val="8"/>
          <c:order val="1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</c:numCache>
            </c:numRef>
          </c:xVal>
          <c:yVal>
            <c:numRef>
              <c:f>'Active 2'!$W$2:$W$19</c:f>
              <c:numCache>
                <c:formatCode>0.00E+00</c:formatCode>
                <c:ptCount val="18"/>
                <c:pt idx="0">
                  <c:v>-1.8023488817320413E-2</c:v>
                </c:pt>
                <c:pt idx="1">
                  <c:v>-1.0863573605687999E-2</c:v>
                </c:pt>
                <c:pt idx="2">
                  <c:v>-4.9837390474862181E-3</c:v>
                </c:pt>
                <c:pt idx="3">
                  <c:v>-3.8398514271506859E-4</c:v>
                </c:pt>
                <c:pt idx="4">
                  <c:v>2.9356881086254494E-3</c:v>
                </c:pt>
                <c:pt idx="5">
                  <c:v>4.9752807065353375E-3</c:v>
                </c:pt>
                <c:pt idx="6">
                  <c:v>5.7347926510145919E-3</c:v>
                </c:pt>
                <c:pt idx="7">
                  <c:v>5.2142239420632161E-3</c:v>
                </c:pt>
                <c:pt idx="8">
                  <c:v>3.4135745796812084E-3</c:v>
                </c:pt>
                <c:pt idx="9">
                  <c:v>3.328445638685687E-4</c:v>
                </c:pt>
                <c:pt idx="10">
                  <c:v>-4.0279661053747029E-3</c:v>
                </c:pt>
                <c:pt idx="11">
                  <c:v>-9.6688574280485995E-3</c:v>
                </c:pt>
                <c:pt idx="12">
                  <c:v>-1.6589829404153135E-2</c:v>
                </c:pt>
                <c:pt idx="13">
                  <c:v>-2.4790882033688302E-2</c:v>
                </c:pt>
                <c:pt idx="14">
                  <c:v>-3.4272015316654102E-2</c:v>
                </c:pt>
                <c:pt idx="15">
                  <c:v>-4.5033229253050533E-2</c:v>
                </c:pt>
                <c:pt idx="16">
                  <c:v>-5.7074523842877589E-2</c:v>
                </c:pt>
                <c:pt idx="17">
                  <c:v>-7.0395899086135291E-2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5-403C-B148-928C94041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1808"/>
        <c:axId val="1"/>
      </c:scatterChart>
      <c:valAx>
        <c:axId val="41736180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18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VZ Lib -- Residuals from quadratic fit - </a:t>
            </a:r>
            <a:r>
              <a:rPr lang="en-AU" sz="11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Nothing there</a:t>
            </a:r>
          </a:p>
        </c:rich>
      </c:tx>
      <c:layout>
        <c:manualLayout>
          <c:xMode val="edge"/>
          <c:yMode val="edge"/>
          <c:x val="0.11368443155131923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42204813121724E-2"/>
          <c:y val="0.14062526822141308"/>
          <c:w val="0.85473772074190046"/>
          <c:h val="0.72265762836003944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2'!$X$20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2'!$X$21:$X$1000</c:f>
              <c:numCache>
                <c:formatCode>General</c:formatCode>
                <c:ptCount val="980"/>
                <c:pt idx="13" formatCode="0.0000">
                  <c:v>-3.3466556859582577E-3</c:v>
                </c:pt>
                <c:pt idx="14" formatCode="0.0000">
                  <c:v>-3.9011827761392419E-3</c:v>
                </c:pt>
                <c:pt idx="15" formatCode="0.0000">
                  <c:v>-3.6332253589367938E-4</c:v>
                </c:pt>
                <c:pt idx="16" formatCode="0.0000">
                  <c:v>-3.6062280280242491E-5</c:v>
                </c:pt>
                <c:pt idx="17" formatCode="0.0000">
                  <c:v>-1.6260957170394739E-5</c:v>
                </c:pt>
                <c:pt idx="18" formatCode="0.0000">
                  <c:v>3.0354221622887114E-4</c:v>
                </c:pt>
                <c:pt idx="19" formatCode="0.0000">
                  <c:v>-1.4662040642367605E-4</c:v>
                </c:pt>
                <c:pt idx="20" formatCode="0.0000">
                  <c:v>-1.4662040642367605E-4</c:v>
                </c:pt>
                <c:pt idx="21" formatCode="0.0000">
                  <c:v>-9.6004750655621467E-3</c:v>
                </c:pt>
                <c:pt idx="22" formatCode="0.0000">
                  <c:v>-8.0549392356951723E-3</c:v>
                </c:pt>
                <c:pt idx="23" formatCode="0.0000">
                  <c:v>-9.1920447068653734E-3</c:v>
                </c:pt>
                <c:pt idx="24" formatCode="0.0000">
                  <c:v>1.256487758131785E-2</c:v>
                </c:pt>
                <c:pt idx="25" formatCode="0.0000">
                  <c:v>4.5631033064804528E-3</c:v>
                </c:pt>
                <c:pt idx="26" formatCode="0.0000">
                  <c:v>2.0402438071798201E-3</c:v>
                </c:pt>
                <c:pt idx="27" formatCode="0.0000">
                  <c:v>-2.4413656761312907E-4</c:v>
                </c:pt>
                <c:pt idx="28" formatCode="0.0000">
                  <c:v>4.1671240439658044E-3</c:v>
                </c:pt>
                <c:pt idx="29" formatCode="0.0000">
                  <c:v>-6.3962366545655402E-3</c:v>
                </c:pt>
                <c:pt idx="30" formatCode="0.0000">
                  <c:v>9.5784247954397855E-3</c:v>
                </c:pt>
                <c:pt idx="31" formatCode="0.0000">
                  <c:v>-1.8743207363156739E-4</c:v>
                </c:pt>
                <c:pt idx="32" formatCode="0.0000">
                  <c:v>1.2139933816381759E-4</c:v>
                </c:pt>
                <c:pt idx="33" formatCode="0.0000">
                  <c:v>2.6107459539090605E-3</c:v>
                </c:pt>
                <c:pt idx="34" formatCode="0.0000">
                  <c:v>-9.3793862715857435E-4</c:v>
                </c:pt>
                <c:pt idx="35" formatCode="0.0000">
                  <c:v>-5.2159464511671791E-3</c:v>
                </c:pt>
                <c:pt idx="36" formatCode="0.0000">
                  <c:v>-5.9109159369342273E-4</c:v>
                </c:pt>
                <c:pt idx="37" formatCode="0.0000">
                  <c:v>1.2444561838882845E-3</c:v>
                </c:pt>
                <c:pt idx="38" formatCode="0.0000">
                  <c:v>1.116691958920564E-3</c:v>
                </c:pt>
                <c:pt idx="39" formatCode="0.0000">
                  <c:v>1.6778716227475107E-3</c:v>
                </c:pt>
                <c:pt idx="40" formatCode="0.0000">
                  <c:v>1.0390525678658225E-3</c:v>
                </c:pt>
                <c:pt idx="41" formatCode="0.0000">
                  <c:v>1.3390525675631426E-3</c:v>
                </c:pt>
                <c:pt idx="42" formatCode="0.0000">
                  <c:v>1.9112889099752936E-3</c:v>
                </c:pt>
                <c:pt idx="43" formatCode="0.0000">
                  <c:v>2.439314564656403E-3</c:v>
                </c:pt>
                <c:pt idx="44" formatCode="0.0000">
                  <c:v>9.2038501301018594E-4</c:v>
                </c:pt>
                <c:pt idx="45" formatCode="0.0000">
                  <c:v>-8.4906513492473412E-5</c:v>
                </c:pt>
                <c:pt idx="46" formatCode="0.0000">
                  <c:v>1.2499760316579955E-3</c:v>
                </c:pt>
                <c:pt idx="47" formatCode="0.0000">
                  <c:v>-6.6590520311351209E-3</c:v>
                </c:pt>
                <c:pt idx="48" formatCode="0.0000">
                  <c:v>-5.5379402080468834E-3</c:v>
                </c:pt>
                <c:pt idx="49" formatCode="0.0000">
                  <c:v>-8.5418861653773354E-3</c:v>
                </c:pt>
                <c:pt idx="50" formatCode="0.0000">
                  <c:v>-3.534385454700216E-3</c:v>
                </c:pt>
                <c:pt idx="51" formatCode="0.0000">
                  <c:v>-3.3256970428997626E-3</c:v>
                </c:pt>
                <c:pt idx="52" formatCode="0.0000">
                  <c:v>-3.5442510419407061E-3</c:v>
                </c:pt>
                <c:pt idx="53" formatCode="0.0000">
                  <c:v>-4.1196487504000512E-3</c:v>
                </c:pt>
                <c:pt idx="54" formatCode="0.0000">
                  <c:v>-5.147188243500217E-3</c:v>
                </c:pt>
                <c:pt idx="55" formatCode="0.0000">
                  <c:v>-3.5559626762430921E-3</c:v>
                </c:pt>
                <c:pt idx="56" formatCode="0.0000">
                  <c:v>-1.5342446536395979E-3</c:v>
                </c:pt>
                <c:pt idx="57" formatCode="0.0000">
                  <c:v>5.1872472564545094E-3</c:v>
                </c:pt>
                <c:pt idx="58" formatCode="0.0000">
                  <c:v>3.6128454469018245E-3</c:v>
                </c:pt>
                <c:pt idx="59" formatCode="0.0000">
                  <c:v>6.631439413649215E-5</c:v>
                </c:pt>
                <c:pt idx="60" formatCode="0.0000">
                  <c:v>-6.0881023491903205E-3</c:v>
                </c:pt>
                <c:pt idx="61" formatCode="0.0000">
                  <c:v>-6.8436949526582413E-3</c:v>
                </c:pt>
                <c:pt idx="62" formatCode="0.0000">
                  <c:v>-3.1257094806357646E-3</c:v>
                </c:pt>
                <c:pt idx="63" formatCode="0.0000">
                  <c:v>-2.9201526076917811E-3</c:v>
                </c:pt>
                <c:pt idx="64" formatCode="0.0000">
                  <c:v>-2.0556590865233731E-3</c:v>
                </c:pt>
                <c:pt idx="65" formatCode="0.0000">
                  <c:v>-1.4550287591499692E-3</c:v>
                </c:pt>
                <c:pt idx="66" formatCode="0.0000">
                  <c:v>-1.0789964670451652E-3</c:v>
                </c:pt>
                <c:pt idx="67" formatCode="0.0000">
                  <c:v>-2.1388500179796432E-3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C-4A98-AA4F-56E962BF0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585088"/>
        <c:axId val="1"/>
      </c:scatterChart>
      <c:valAx>
        <c:axId val="37158508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5850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VZ Lib -- [44788.5950, 0.35825797].</a:t>
            </a:r>
          </a:p>
        </c:rich>
      </c:tx>
      <c:layout>
        <c:manualLayout>
          <c:xMode val="edge"/>
          <c:yMode val="edge"/>
          <c:x val="0.17381996778299708"/>
          <c:y val="1.94552529182879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4007782101167315"/>
          <c:w val="0.85193222313847816"/>
          <c:h val="0.72373540856031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2'!$H$21:$H$1000</c:f>
              <c:numCache>
                <c:formatCode>0.0000</c:formatCode>
                <c:ptCount val="980"/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B-4565-B206-79FCA6800E5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2'!$I$21:$I$1000</c:f>
              <c:numCache>
                <c:formatCode>0.0000</c:formatCode>
                <c:ptCount val="980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B-4565-B206-79FCA6800E5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2'!$J$21:$J$1000</c:f>
              <c:numCache>
                <c:formatCode>0.0000</c:formatCode>
                <c:ptCount val="980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3B-4565-B206-79FCA6800E55}"/>
            </c:ext>
          </c:extLst>
        </c:ser>
        <c:ser>
          <c:idx val="2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-44819</c:v>
                </c:pt>
                <c:pt idx="1">
                  <c:v>-44818.5</c:v>
                </c:pt>
                <c:pt idx="2">
                  <c:v>-43940</c:v>
                </c:pt>
                <c:pt idx="3">
                  <c:v>-43939.5</c:v>
                </c:pt>
                <c:pt idx="4">
                  <c:v>-43038.5</c:v>
                </c:pt>
                <c:pt idx="5">
                  <c:v>-42268.5</c:v>
                </c:pt>
                <c:pt idx="6">
                  <c:v>-39901</c:v>
                </c:pt>
                <c:pt idx="7">
                  <c:v>-39900.5</c:v>
                </c:pt>
                <c:pt idx="8">
                  <c:v>-38768</c:v>
                </c:pt>
                <c:pt idx="9">
                  <c:v>-38767.5</c:v>
                </c:pt>
                <c:pt idx="10">
                  <c:v>-37771.5</c:v>
                </c:pt>
                <c:pt idx="11">
                  <c:v>-37771</c:v>
                </c:pt>
                <c:pt idx="12">
                  <c:v>-34753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31556</c:v>
                </c:pt>
                <c:pt idx="84">
                  <c:v>33474.5</c:v>
                </c:pt>
                <c:pt idx="85">
                  <c:v>33494.5</c:v>
                </c:pt>
                <c:pt idx="86">
                  <c:v>34543.5</c:v>
                </c:pt>
                <c:pt idx="87">
                  <c:v>35557</c:v>
                </c:pt>
                <c:pt idx="88">
                  <c:v>35557</c:v>
                </c:pt>
                <c:pt idx="89">
                  <c:v>35557</c:v>
                </c:pt>
                <c:pt idx="90">
                  <c:v>37814</c:v>
                </c:pt>
                <c:pt idx="91">
                  <c:v>39518</c:v>
                </c:pt>
                <c:pt idx="92">
                  <c:v>39518</c:v>
                </c:pt>
                <c:pt idx="93">
                  <c:v>39518</c:v>
                </c:pt>
                <c:pt idx="94">
                  <c:v>39571</c:v>
                </c:pt>
                <c:pt idx="95">
                  <c:v>39571</c:v>
                </c:pt>
                <c:pt idx="96">
                  <c:v>39571</c:v>
                </c:pt>
                <c:pt idx="97">
                  <c:v>39651.5</c:v>
                </c:pt>
                <c:pt idx="98">
                  <c:v>39665.5</c:v>
                </c:pt>
                <c:pt idx="99">
                  <c:v>40406</c:v>
                </c:pt>
                <c:pt idx="100">
                  <c:v>40406</c:v>
                </c:pt>
                <c:pt idx="101">
                  <c:v>40484</c:v>
                </c:pt>
                <c:pt idx="102">
                  <c:v>40484</c:v>
                </c:pt>
                <c:pt idx="103">
                  <c:v>40484</c:v>
                </c:pt>
                <c:pt idx="104">
                  <c:v>41422</c:v>
                </c:pt>
                <c:pt idx="105">
                  <c:v>41422</c:v>
                </c:pt>
                <c:pt idx="106">
                  <c:v>41486</c:v>
                </c:pt>
                <c:pt idx="107">
                  <c:v>41486</c:v>
                </c:pt>
              </c:numCache>
            </c:numRef>
          </c:xVal>
          <c:yVal>
            <c:numRef>
              <c:f>'Active 2'!$K$21:$K$1000</c:f>
              <c:numCache>
                <c:formatCode>0.0000</c:formatCode>
                <c:ptCount val="980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-3.7680524997995235E-2</c:v>
                </c:pt>
                <c:pt idx="81">
                  <c:v>-3.749052499915706E-2</c:v>
                </c:pt>
                <c:pt idx="82">
                  <c:v>-3.690052499587182E-2</c:v>
                </c:pt>
                <c:pt idx="83">
                  <c:v>-3.9501320003182627E-2</c:v>
                </c:pt>
                <c:pt idx="84">
                  <c:v>-5.0316765191382729E-2</c:v>
                </c:pt>
                <c:pt idx="85">
                  <c:v>-4.9376165159628727E-2</c:v>
                </c:pt>
                <c:pt idx="86">
                  <c:v>-5.1786695003102068E-2</c:v>
                </c:pt>
                <c:pt idx="87">
                  <c:v>-6.1739289994875435E-2</c:v>
                </c:pt>
                <c:pt idx="88">
                  <c:v>-6.1039289998007007E-2</c:v>
                </c:pt>
                <c:pt idx="89">
                  <c:v>-6.0339290001138579E-2</c:v>
                </c:pt>
                <c:pt idx="90">
                  <c:v>-7.0277580001857132E-2</c:v>
                </c:pt>
                <c:pt idx="91">
                  <c:v>-7.4458460003370419E-2</c:v>
                </c:pt>
                <c:pt idx="92">
                  <c:v>-7.2458460002962966E-2</c:v>
                </c:pt>
                <c:pt idx="93">
                  <c:v>-7.2458460002962966E-2</c:v>
                </c:pt>
                <c:pt idx="94">
                  <c:v>-7.3930869999458082E-2</c:v>
                </c:pt>
                <c:pt idx="95">
                  <c:v>-7.3730869997234549E-2</c:v>
                </c:pt>
                <c:pt idx="96">
                  <c:v>-7.1030869999958668E-2</c:v>
                </c:pt>
                <c:pt idx="97">
                  <c:v>-6.8897454999387264E-2</c:v>
                </c:pt>
                <c:pt idx="98">
                  <c:v>-6.9509035005467013E-2</c:v>
                </c:pt>
                <c:pt idx="99">
                  <c:v>-7.0535819912038278E-2</c:v>
                </c:pt>
                <c:pt idx="100">
                  <c:v>-6.8535820049874019E-2</c:v>
                </c:pt>
                <c:pt idx="101">
                  <c:v>-7.1657479944406077E-2</c:v>
                </c:pt>
                <c:pt idx="102">
                  <c:v>-7.0657479780493304E-2</c:v>
                </c:pt>
                <c:pt idx="103">
                  <c:v>-6.7657480220077559E-2</c:v>
                </c:pt>
                <c:pt idx="104">
                  <c:v>-7.9633340232248884E-2</c:v>
                </c:pt>
                <c:pt idx="105">
                  <c:v>-7.8633340068336111E-2</c:v>
                </c:pt>
                <c:pt idx="106">
                  <c:v>-8.9143420002073981E-2</c:v>
                </c:pt>
                <c:pt idx="107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3B-4565-B206-79FCA6800E55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  <c:pt idx="17">
                  <c:v>37500</c:v>
                </c:pt>
              </c:numCache>
            </c:numRef>
          </c:xVal>
          <c:yVal>
            <c:numRef>
              <c:f>'Active 2'!$W$2:$W$19</c:f>
              <c:numCache>
                <c:formatCode>0.00E+00</c:formatCode>
                <c:ptCount val="18"/>
                <c:pt idx="0">
                  <c:v>-1.8023488817320413E-2</c:v>
                </c:pt>
                <c:pt idx="1">
                  <c:v>-1.0863573605687999E-2</c:v>
                </c:pt>
                <c:pt idx="2">
                  <c:v>-4.9837390474862181E-3</c:v>
                </c:pt>
                <c:pt idx="3">
                  <c:v>-3.8398514271506859E-4</c:v>
                </c:pt>
                <c:pt idx="4">
                  <c:v>2.9356881086254494E-3</c:v>
                </c:pt>
                <c:pt idx="5">
                  <c:v>4.9752807065353375E-3</c:v>
                </c:pt>
                <c:pt idx="6">
                  <c:v>5.7347926510145919E-3</c:v>
                </c:pt>
                <c:pt idx="7">
                  <c:v>5.2142239420632161E-3</c:v>
                </c:pt>
                <c:pt idx="8">
                  <c:v>3.4135745796812084E-3</c:v>
                </c:pt>
                <c:pt idx="9">
                  <c:v>3.328445638685687E-4</c:v>
                </c:pt>
                <c:pt idx="10">
                  <c:v>-4.0279661053747029E-3</c:v>
                </c:pt>
                <c:pt idx="11">
                  <c:v>-9.6688574280485995E-3</c:v>
                </c:pt>
                <c:pt idx="12">
                  <c:v>-1.6589829404153135E-2</c:v>
                </c:pt>
                <c:pt idx="13">
                  <c:v>-2.4790882033688302E-2</c:v>
                </c:pt>
                <c:pt idx="14">
                  <c:v>-3.4272015316654102E-2</c:v>
                </c:pt>
                <c:pt idx="15">
                  <c:v>-4.5033229253050533E-2</c:v>
                </c:pt>
                <c:pt idx="16">
                  <c:v>-5.7074523842877589E-2</c:v>
                </c:pt>
                <c:pt idx="17">
                  <c:v>-7.0395899086135291E-2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3B-4565-B206-79FCA680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2792"/>
        <c:axId val="1"/>
      </c:scatterChart>
      <c:valAx>
        <c:axId val="41736279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27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09690484726749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6'!$H$21:$H$994</c:f>
              <c:numCache>
                <c:formatCode>0.0000</c:formatCode>
                <c:ptCount val="974"/>
                <c:pt idx="0">
                  <c:v>-0.34391358500215574</c:v>
                </c:pt>
                <c:pt idx="1">
                  <c:v>-0.35304257000461803</c:v>
                </c:pt>
                <c:pt idx="2">
                  <c:v>-0.34566921500299941</c:v>
                </c:pt>
                <c:pt idx="3">
                  <c:v>-0.33479820000502514</c:v>
                </c:pt>
                <c:pt idx="4">
                  <c:v>-0.34622917000160669</c:v>
                </c:pt>
                <c:pt idx="5">
                  <c:v>-0.37886607000473305</c:v>
                </c:pt>
                <c:pt idx="6">
                  <c:v>-0.27861004500300623</c:v>
                </c:pt>
                <c:pt idx="7">
                  <c:v>-0.27073903000200517</c:v>
                </c:pt>
                <c:pt idx="8">
                  <c:v>-0.25089005500194617</c:v>
                </c:pt>
                <c:pt idx="9">
                  <c:v>-0.25101904000257491</c:v>
                </c:pt>
                <c:pt idx="10">
                  <c:v>-0.23495716000252287</c:v>
                </c:pt>
                <c:pt idx="11">
                  <c:v>-0.22808614500172553</c:v>
                </c:pt>
                <c:pt idx="12">
                  <c:v>-0.19863960500151734</c:v>
                </c:pt>
                <c:pt idx="29">
                  <c:v>-7.1815199989941902E-3</c:v>
                </c:pt>
                <c:pt idx="32">
                  <c:v>-7.7471000258810818E-4</c:v>
                </c:pt>
                <c:pt idx="33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9-4456-9206-79C20C364A3B}"/>
            </c:ext>
          </c:extLst>
        </c:ser>
        <c:ser>
          <c:idx val="1"/>
          <c:order val="1"/>
          <c:tx>
            <c:strRef>
              <c:f>'Active 6'!$I$20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6'!$D$42:$D$53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6">
                    <c:v>0</c:v>
                  </c:pt>
                  <c:pt idx="7">
                    <c:v>0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6'!$I$21:$I$994</c:f>
              <c:numCache>
                <c:formatCode>0.0000</c:formatCode>
                <c:ptCount val="974"/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9-4456-9206-79C20C364A3B}"/>
            </c:ext>
          </c:extLst>
        </c:ser>
        <c:ser>
          <c:idx val="3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6'!$J$21:$J$994</c:f>
              <c:numCache>
                <c:formatCode>0.0000</c:formatCode>
                <c:ptCount val="974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4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9-4456-9206-79C20C364A3B}"/>
            </c:ext>
          </c:extLst>
        </c:ser>
        <c:ser>
          <c:idx val="2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6'!$K$21:$K$994</c:f>
              <c:numCache>
                <c:formatCode>0.0000</c:formatCode>
                <c:ptCount val="974"/>
                <c:pt idx="25">
                  <c:v>1.0301814996637404E-2</c:v>
                </c:pt>
                <c:pt idx="26">
                  <c:v>2.2337900009006262E-3</c:v>
                </c:pt>
                <c:pt idx="27">
                  <c:v>-9.902399979182519E-4</c:v>
                </c:pt>
                <c:pt idx="28">
                  <c:v>3.3981800006586127E-3</c:v>
                </c:pt>
                <c:pt idx="30">
                  <c:v>8.7865999958012253E-3</c:v>
                </c:pt>
                <c:pt idx="31">
                  <c:v>-1.0481400022399612E-3</c:v>
                </c:pt>
                <c:pt idx="34">
                  <c:v>-5.322155004250817E-3</c:v>
                </c:pt>
                <c:pt idx="35">
                  <c:v>-9.7012199985329062E-3</c:v>
                </c:pt>
                <c:pt idx="36">
                  <c:v>-7.7463499983423389E-3</c:v>
                </c:pt>
                <c:pt idx="37">
                  <c:v>-7.5673799947253428E-3</c:v>
                </c:pt>
                <c:pt idx="38">
                  <c:v>-7.6963649989920668E-3</c:v>
                </c:pt>
                <c:pt idx="39">
                  <c:v>-7.1412899997085333E-3</c:v>
                </c:pt>
                <c:pt idx="40">
                  <c:v>-7.7862149992142804E-3</c:v>
                </c:pt>
                <c:pt idx="41">
                  <c:v>-7.4862149995169602E-3</c:v>
                </c:pt>
                <c:pt idx="42">
                  <c:v>-6.9151999996392988E-3</c:v>
                </c:pt>
                <c:pt idx="43">
                  <c:v>-6.407945002138149E-3</c:v>
                </c:pt>
                <c:pt idx="44">
                  <c:v>-8.1353950008633547E-3</c:v>
                </c:pt>
                <c:pt idx="45">
                  <c:v>-9.1542299996945076E-3</c:v>
                </c:pt>
                <c:pt idx="46">
                  <c:v>-7.893330002843868E-3</c:v>
                </c:pt>
                <c:pt idx="47">
                  <c:v>-1.8379270004516002E-2</c:v>
                </c:pt>
                <c:pt idx="48">
                  <c:v>-1.7680560005828738E-2</c:v>
                </c:pt>
                <c:pt idx="49">
                  <c:v>-2.0699395005067345E-2</c:v>
                </c:pt>
                <c:pt idx="50">
                  <c:v>-1.7614634998608381E-2</c:v>
                </c:pt>
                <c:pt idx="51">
                  <c:v>-1.7498660003184341E-2</c:v>
                </c:pt>
                <c:pt idx="52">
                  <c:v>-1.8192695002653636E-2</c:v>
                </c:pt>
                <c:pt idx="53">
                  <c:v>-1.8782544997520745E-2</c:v>
                </c:pt>
                <c:pt idx="54">
                  <c:v>-1.9811530000879429E-2</c:v>
                </c:pt>
                <c:pt idx="55">
                  <c:v>-1.826803499716334E-2</c:v>
                </c:pt>
                <c:pt idx="56">
                  <c:v>-1.6276720001769718E-2</c:v>
                </c:pt>
                <c:pt idx="57">
                  <c:v>-1.2368520001473371E-2</c:v>
                </c:pt>
                <c:pt idx="58">
                  <c:v>-1.3958370000182185E-2</c:v>
                </c:pt>
                <c:pt idx="59">
                  <c:v>-2.0203885003866162E-2</c:v>
                </c:pt>
                <c:pt idx="60">
                  <c:v>-2.6992095001332927E-2</c:v>
                </c:pt>
                <c:pt idx="61">
                  <c:v>-2.8377410002576653E-2</c:v>
                </c:pt>
                <c:pt idx="62">
                  <c:v>-2.6927459999569692E-2</c:v>
                </c:pt>
                <c:pt idx="63">
                  <c:v>-2.702881999721285E-2</c:v>
                </c:pt>
                <c:pt idx="64">
                  <c:v>-2.6883685000939295E-2</c:v>
                </c:pt>
                <c:pt idx="65">
                  <c:v>-2.6302520003810059E-2</c:v>
                </c:pt>
                <c:pt idx="66">
                  <c:v>-2.6025679995655082E-2</c:v>
                </c:pt>
                <c:pt idx="67">
                  <c:v>-2.719376500317594E-2</c:v>
                </c:pt>
                <c:pt idx="68">
                  <c:v>-2.719376500317594E-2</c:v>
                </c:pt>
                <c:pt idx="69">
                  <c:v>-2.629376500408398E-2</c:v>
                </c:pt>
                <c:pt idx="70">
                  <c:v>-2.5475730006291997E-2</c:v>
                </c:pt>
                <c:pt idx="71">
                  <c:v>-2.64205849962309E-2</c:v>
                </c:pt>
                <c:pt idx="72">
                  <c:v>-2.6906005005002953E-2</c:v>
                </c:pt>
                <c:pt idx="73">
                  <c:v>-2.6410294995002914E-2</c:v>
                </c:pt>
                <c:pt idx="74">
                  <c:v>-3.6696269999083597E-2</c:v>
                </c:pt>
                <c:pt idx="75">
                  <c:v>-3.6355600008391775E-2</c:v>
                </c:pt>
                <c:pt idx="76">
                  <c:v>-3.7969235003401991E-2</c:v>
                </c:pt>
                <c:pt idx="77">
                  <c:v>-3.6466755002038553E-2</c:v>
                </c:pt>
                <c:pt idx="78">
                  <c:v>-3.8321724998240825E-2</c:v>
                </c:pt>
                <c:pt idx="79">
                  <c:v>-3.7740524996479508E-2</c:v>
                </c:pt>
                <c:pt idx="80">
                  <c:v>-3.7740524996479508E-2</c:v>
                </c:pt>
                <c:pt idx="81">
                  <c:v>-3.7680524997995235E-2</c:v>
                </c:pt>
                <c:pt idx="82">
                  <c:v>-3.7680524997995235E-2</c:v>
                </c:pt>
                <c:pt idx="83">
                  <c:v>-3.749052499915706E-2</c:v>
                </c:pt>
                <c:pt idx="84">
                  <c:v>-3.749052499915706E-2</c:v>
                </c:pt>
                <c:pt idx="85">
                  <c:v>-3.690052499587182E-2</c:v>
                </c:pt>
                <c:pt idx="86">
                  <c:v>-3.690052499587182E-2</c:v>
                </c:pt>
                <c:pt idx="87">
                  <c:v>-3.9501320003182627E-2</c:v>
                </c:pt>
                <c:pt idx="88">
                  <c:v>-3.9501320003182627E-2</c:v>
                </c:pt>
                <c:pt idx="89">
                  <c:v>-5.0316765191382729E-2</c:v>
                </c:pt>
                <c:pt idx="90">
                  <c:v>-4.9376165159628727E-2</c:v>
                </c:pt>
                <c:pt idx="91">
                  <c:v>-5.1786695003102068E-2</c:v>
                </c:pt>
                <c:pt idx="92">
                  <c:v>-6.1739289994875435E-2</c:v>
                </c:pt>
                <c:pt idx="93">
                  <c:v>-6.1039289998007007E-2</c:v>
                </c:pt>
                <c:pt idx="94">
                  <c:v>-6.0339290001138579E-2</c:v>
                </c:pt>
                <c:pt idx="95">
                  <c:v>-7.0277580001857132E-2</c:v>
                </c:pt>
                <c:pt idx="96">
                  <c:v>-7.4458460003370419E-2</c:v>
                </c:pt>
                <c:pt idx="97">
                  <c:v>-7.2458460002962966E-2</c:v>
                </c:pt>
                <c:pt idx="98">
                  <c:v>-7.2458460002962966E-2</c:v>
                </c:pt>
                <c:pt idx="99">
                  <c:v>-7.3930869999458082E-2</c:v>
                </c:pt>
                <c:pt idx="100">
                  <c:v>-7.3730869997234549E-2</c:v>
                </c:pt>
                <c:pt idx="101">
                  <c:v>-7.1030869999958668E-2</c:v>
                </c:pt>
                <c:pt idx="102">
                  <c:v>-6.8897454999387264E-2</c:v>
                </c:pt>
                <c:pt idx="103">
                  <c:v>-6.9509035005467013E-2</c:v>
                </c:pt>
                <c:pt idx="104">
                  <c:v>-7.0535819912038278E-2</c:v>
                </c:pt>
                <c:pt idx="105">
                  <c:v>-6.8535820049874019E-2</c:v>
                </c:pt>
                <c:pt idx="106">
                  <c:v>-7.1657479944406077E-2</c:v>
                </c:pt>
                <c:pt idx="107">
                  <c:v>-7.0657479780493304E-2</c:v>
                </c:pt>
                <c:pt idx="108">
                  <c:v>-6.7657480220077559E-2</c:v>
                </c:pt>
                <c:pt idx="109">
                  <c:v>-7.9633340232248884E-2</c:v>
                </c:pt>
                <c:pt idx="110">
                  <c:v>-7.8633340068336111E-2</c:v>
                </c:pt>
                <c:pt idx="111">
                  <c:v>-8.9143420002073981E-2</c:v>
                </c:pt>
                <c:pt idx="112">
                  <c:v>-8.5143419812084176E-2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9-4456-9206-79C20C364A3B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6'!$L$21:$L$994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D9-4456-9206-79C20C364A3B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6'!$M$21:$M$994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9-4456-9206-79C20C364A3B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6'!$N$21:$N$994</c:f>
              <c:numCache>
                <c:formatCode>0.0000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9-4456-9206-79C20C364A3B}"/>
            </c:ext>
          </c:extLst>
        </c:ser>
        <c:ser>
          <c:idx val="7"/>
          <c:order val="7"/>
          <c:tx>
            <c:strRef>
              <c:f>'Active 6'!$O$20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6'!$F$21:$F$994</c:f>
              <c:numCache>
                <c:formatCode>General</c:formatCode>
                <c:ptCount val="974"/>
                <c:pt idx="0">
                  <c:v>-44819.5</c:v>
                </c:pt>
                <c:pt idx="1">
                  <c:v>-44819</c:v>
                </c:pt>
                <c:pt idx="2">
                  <c:v>-43940.5</c:v>
                </c:pt>
                <c:pt idx="3">
                  <c:v>-43940</c:v>
                </c:pt>
                <c:pt idx="4">
                  <c:v>-43039</c:v>
                </c:pt>
                <c:pt idx="5">
                  <c:v>-42269</c:v>
                </c:pt>
                <c:pt idx="6">
                  <c:v>-39901.5</c:v>
                </c:pt>
                <c:pt idx="7">
                  <c:v>-39901</c:v>
                </c:pt>
                <c:pt idx="8">
                  <c:v>-38768.5</c:v>
                </c:pt>
                <c:pt idx="9">
                  <c:v>-38768</c:v>
                </c:pt>
                <c:pt idx="10">
                  <c:v>-37772</c:v>
                </c:pt>
                <c:pt idx="11">
                  <c:v>-37771.5</c:v>
                </c:pt>
                <c:pt idx="12">
                  <c:v>-34753.5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5.5</c:v>
                </c:pt>
                <c:pt idx="21">
                  <c:v>9202.5</c:v>
                </c:pt>
                <c:pt idx="22">
                  <c:v>9227.5</c:v>
                </c:pt>
                <c:pt idx="23">
                  <c:v>9305.5</c:v>
                </c:pt>
                <c:pt idx="24">
                  <c:v>9903.5</c:v>
                </c:pt>
                <c:pt idx="25">
                  <c:v>10360.5</c:v>
                </c:pt>
                <c:pt idx="26">
                  <c:v>17593</c:v>
                </c:pt>
                <c:pt idx="27">
                  <c:v>18192</c:v>
                </c:pt>
                <c:pt idx="28">
                  <c:v>18206</c:v>
                </c:pt>
                <c:pt idx="29">
                  <c:v>18216</c:v>
                </c:pt>
                <c:pt idx="30">
                  <c:v>18220</c:v>
                </c:pt>
                <c:pt idx="31">
                  <c:v>18262</c:v>
                </c:pt>
                <c:pt idx="32">
                  <c:v>18283.5</c:v>
                </c:pt>
                <c:pt idx="33">
                  <c:v>19055</c:v>
                </c:pt>
                <c:pt idx="34">
                  <c:v>20176.5</c:v>
                </c:pt>
                <c:pt idx="35">
                  <c:v>20226</c:v>
                </c:pt>
                <c:pt idx="36">
                  <c:v>21455</c:v>
                </c:pt>
                <c:pt idx="37">
                  <c:v>22154</c:v>
                </c:pt>
                <c:pt idx="38">
                  <c:v>22154.5</c:v>
                </c:pt>
                <c:pt idx="39">
                  <c:v>22157</c:v>
                </c:pt>
                <c:pt idx="40">
                  <c:v>22159.5</c:v>
                </c:pt>
                <c:pt idx="41">
                  <c:v>22159.5</c:v>
                </c:pt>
                <c:pt idx="42">
                  <c:v>22160</c:v>
                </c:pt>
                <c:pt idx="43">
                  <c:v>22168.5</c:v>
                </c:pt>
                <c:pt idx="44">
                  <c:v>22253.5</c:v>
                </c:pt>
                <c:pt idx="45">
                  <c:v>22259</c:v>
                </c:pt>
                <c:pt idx="46">
                  <c:v>22289</c:v>
                </c:pt>
                <c:pt idx="47">
                  <c:v>23291</c:v>
                </c:pt>
                <c:pt idx="48">
                  <c:v>23448</c:v>
                </c:pt>
                <c:pt idx="49">
                  <c:v>23453.5</c:v>
                </c:pt>
                <c:pt idx="50">
                  <c:v>24145.5</c:v>
                </c:pt>
                <c:pt idx="51">
                  <c:v>24178</c:v>
                </c:pt>
                <c:pt idx="52">
                  <c:v>24343.5</c:v>
                </c:pt>
                <c:pt idx="53">
                  <c:v>24348.5</c:v>
                </c:pt>
                <c:pt idx="54">
                  <c:v>24349</c:v>
                </c:pt>
                <c:pt idx="55">
                  <c:v>24365.5</c:v>
                </c:pt>
                <c:pt idx="56">
                  <c:v>24376</c:v>
                </c:pt>
                <c:pt idx="57">
                  <c:v>25316</c:v>
                </c:pt>
                <c:pt idx="58">
                  <c:v>25321</c:v>
                </c:pt>
                <c:pt idx="59">
                  <c:v>26170.5</c:v>
                </c:pt>
                <c:pt idx="60">
                  <c:v>26363.5</c:v>
                </c:pt>
                <c:pt idx="61">
                  <c:v>26553</c:v>
                </c:pt>
                <c:pt idx="62">
                  <c:v>27218</c:v>
                </c:pt>
                <c:pt idx="63">
                  <c:v>27306</c:v>
                </c:pt>
                <c:pt idx="64">
                  <c:v>27510.5</c:v>
                </c:pt>
                <c:pt idx="65">
                  <c:v>27516</c:v>
                </c:pt>
                <c:pt idx="66">
                  <c:v>27544</c:v>
                </c:pt>
                <c:pt idx="67">
                  <c:v>27574.5</c:v>
                </c:pt>
                <c:pt idx="68">
                  <c:v>27574.5</c:v>
                </c:pt>
                <c:pt idx="69">
                  <c:v>27574.5</c:v>
                </c:pt>
                <c:pt idx="70">
                  <c:v>28209</c:v>
                </c:pt>
                <c:pt idx="71">
                  <c:v>28280.5</c:v>
                </c:pt>
                <c:pt idx="72">
                  <c:v>28366.5</c:v>
                </c:pt>
                <c:pt idx="73">
                  <c:v>28423.5</c:v>
                </c:pt>
                <c:pt idx="74">
                  <c:v>29391</c:v>
                </c:pt>
                <c:pt idx="75">
                  <c:v>29480</c:v>
                </c:pt>
                <c:pt idx="76">
                  <c:v>30325.5</c:v>
                </c:pt>
                <c:pt idx="77">
                  <c:v>31341.5</c:v>
                </c:pt>
                <c:pt idx="78">
                  <c:v>31442.5</c:v>
                </c:pt>
                <c:pt idx="79">
                  <c:v>31482.5</c:v>
                </c:pt>
                <c:pt idx="80">
                  <c:v>31482.5</c:v>
                </c:pt>
                <c:pt idx="81">
                  <c:v>31482.5</c:v>
                </c:pt>
                <c:pt idx="82">
                  <c:v>31482.5</c:v>
                </c:pt>
                <c:pt idx="83">
                  <c:v>31482.5</c:v>
                </c:pt>
                <c:pt idx="84">
                  <c:v>31482.5</c:v>
                </c:pt>
                <c:pt idx="85">
                  <c:v>31482.5</c:v>
                </c:pt>
                <c:pt idx="86">
                  <c:v>31482.5</c:v>
                </c:pt>
                <c:pt idx="87">
                  <c:v>31556</c:v>
                </c:pt>
                <c:pt idx="88">
                  <c:v>31556</c:v>
                </c:pt>
                <c:pt idx="89">
                  <c:v>33474.5</c:v>
                </c:pt>
                <c:pt idx="90">
                  <c:v>33494.5</c:v>
                </c:pt>
                <c:pt idx="91">
                  <c:v>34543.5</c:v>
                </c:pt>
                <c:pt idx="92">
                  <c:v>35557</c:v>
                </c:pt>
                <c:pt idx="93">
                  <c:v>35557</c:v>
                </c:pt>
                <c:pt idx="94">
                  <c:v>35557</c:v>
                </c:pt>
                <c:pt idx="95">
                  <c:v>37814</c:v>
                </c:pt>
                <c:pt idx="96">
                  <c:v>39518</c:v>
                </c:pt>
                <c:pt idx="97">
                  <c:v>39518</c:v>
                </c:pt>
                <c:pt idx="98">
                  <c:v>39518</c:v>
                </c:pt>
                <c:pt idx="99">
                  <c:v>39571</c:v>
                </c:pt>
                <c:pt idx="100">
                  <c:v>39571</c:v>
                </c:pt>
                <c:pt idx="101">
                  <c:v>39571</c:v>
                </c:pt>
                <c:pt idx="102">
                  <c:v>39651.5</c:v>
                </c:pt>
                <c:pt idx="103">
                  <c:v>39665.5</c:v>
                </c:pt>
                <c:pt idx="104">
                  <c:v>40406</c:v>
                </c:pt>
                <c:pt idx="105">
                  <c:v>40406</c:v>
                </c:pt>
                <c:pt idx="106">
                  <c:v>40484</c:v>
                </c:pt>
                <c:pt idx="107">
                  <c:v>40484</c:v>
                </c:pt>
                <c:pt idx="108">
                  <c:v>40484</c:v>
                </c:pt>
                <c:pt idx="109">
                  <c:v>41422</c:v>
                </c:pt>
                <c:pt idx="110">
                  <c:v>41422</c:v>
                </c:pt>
                <c:pt idx="111">
                  <c:v>41486</c:v>
                </c:pt>
                <c:pt idx="112">
                  <c:v>41486</c:v>
                </c:pt>
              </c:numCache>
            </c:numRef>
          </c:xVal>
          <c:yVal>
            <c:numRef>
              <c:f>'Active 6'!$O$21:$O$994</c:f>
              <c:numCache>
                <c:formatCode>0.0000</c:formatCode>
                <c:ptCount val="974"/>
                <c:pt idx="5">
                  <c:v>0.21511297906169299</c:v>
                </c:pt>
                <c:pt idx="13">
                  <c:v>7.1870259263278904E-2</c:v>
                </c:pt>
                <c:pt idx="14">
                  <c:v>7.146240366744E-2</c:v>
                </c:pt>
                <c:pt idx="15">
                  <c:v>6.8638788003939868E-2</c:v>
                </c:pt>
                <c:pt idx="16">
                  <c:v>6.777601655120373E-2</c:v>
                </c:pt>
                <c:pt idx="17">
                  <c:v>6.7765558715412982E-2</c:v>
                </c:pt>
                <c:pt idx="18">
                  <c:v>6.7755100879622235E-2</c:v>
                </c:pt>
                <c:pt idx="19">
                  <c:v>6.7746386016463295E-2</c:v>
                </c:pt>
                <c:pt idx="20">
                  <c:v>6.7746386016463295E-2</c:v>
                </c:pt>
                <c:pt idx="21">
                  <c:v>3.5686147427314331E-2</c:v>
                </c:pt>
                <c:pt idx="22">
                  <c:v>3.5598998795724819E-2</c:v>
                </c:pt>
                <c:pt idx="23">
                  <c:v>3.5327095065165549E-2</c:v>
                </c:pt>
                <c:pt idx="25">
                  <c:v>3.1649422812088226E-2</c:v>
                </c:pt>
                <c:pt idx="27">
                  <c:v>4.3492424803583118E-3</c:v>
                </c:pt>
                <c:pt idx="28">
                  <c:v>4.3004392466681751E-3</c:v>
                </c:pt>
                <c:pt idx="29">
                  <c:v>4.2655797940323731E-3</c:v>
                </c:pt>
                <c:pt idx="30">
                  <c:v>4.2516360129780523E-3</c:v>
                </c:pt>
                <c:pt idx="31">
                  <c:v>4.1052263119076837E-3</c:v>
                </c:pt>
                <c:pt idx="32">
                  <c:v>4.0302784887406989E-3</c:v>
                </c:pt>
                <c:pt idx="33">
                  <c:v>1.3408717178884227E-3</c:v>
                </c:pt>
                <c:pt idx="34">
                  <c:v>-2.5686158952170079E-3</c:v>
                </c:pt>
                <c:pt idx="35">
                  <c:v>-2.7411701857642246E-3</c:v>
                </c:pt>
                <c:pt idx="36">
                  <c:v>-7.0253969147045514E-3</c:v>
                </c:pt>
                <c:pt idx="37">
                  <c:v>-9.4620726539472455E-3</c:v>
                </c:pt>
                <c:pt idx="38">
                  <c:v>-9.4638156265790391E-3</c:v>
                </c:pt>
                <c:pt idx="39">
                  <c:v>-9.4725304897379931E-3</c:v>
                </c:pt>
                <c:pt idx="40">
                  <c:v>-9.4812453528969332E-3</c:v>
                </c:pt>
                <c:pt idx="41">
                  <c:v>-9.4812453528969332E-3</c:v>
                </c:pt>
                <c:pt idx="42">
                  <c:v>-9.4829883255287267E-3</c:v>
                </c:pt>
                <c:pt idx="43">
                  <c:v>-9.5126188602691619E-3</c:v>
                </c:pt>
                <c:pt idx="44">
                  <c:v>-9.8089242076735E-3</c:v>
                </c:pt>
                <c:pt idx="45">
                  <c:v>-9.8280969066231877E-3</c:v>
                </c:pt>
                <c:pt idx="46">
                  <c:v>-9.9326752645306077E-3</c:v>
                </c:pt>
                <c:pt idx="47">
                  <c:v>-1.3425592418638166E-2</c:v>
                </c:pt>
                <c:pt idx="48">
                  <c:v>-1.3972885825020293E-2</c:v>
                </c:pt>
                <c:pt idx="49">
                  <c:v>-1.399205852396998E-2</c:v>
                </c:pt>
                <c:pt idx="50">
                  <c:v>-1.640433264636762E-2</c:v>
                </c:pt>
                <c:pt idx="51">
                  <c:v>-1.651762586743398E-2</c:v>
                </c:pt>
                <c:pt idx="52">
                  <c:v>-1.7094549808556542E-2</c:v>
                </c:pt>
                <c:pt idx="53">
                  <c:v>-1.7111979534874436E-2</c:v>
                </c:pt>
                <c:pt idx="54">
                  <c:v>-1.7113722507506229E-2</c:v>
                </c:pt>
                <c:pt idx="55">
                  <c:v>-1.7171240604355306E-2</c:v>
                </c:pt>
                <c:pt idx="56">
                  <c:v>-1.7207843029622902E-2</c:v>
                </c:pt>
                <c:pt idx="57">
                  <c:v>-2.0484631577388474E-2</c:v>
                </c:pt>
                <c:pt idx="58">
                  <c:v>-2.0502061303706381E-2</c:v>
                </c:pt>
                <c:pt idx="59">
                  <c:v>-2.3463371805117927E-2</c:v>
                </c:pt>
                <c:pt idx="60">
                  <c:v>-2.4136159240988955E-2</c:v>
                </c:pt>
                <c:pt idx="61">
                  <c:v>-2.4796745868437442E-2</c:v>
                </c:pt>
                <c:pt idx="62">
                  <c:v>-2.7114899468718409E-2</c:v>
                </c:pt>
                <c:pt idx="63">
                  <c:v>-2.7421662651913481E-2</c:v>
                </c:pt>
                <c:pt idx="64">
                  <c:v>-2.8134538458315678E-2</c:v>
                </c:pt>
                <c:pt idx="65">
                  <c:v>-2.8153711157265365E-2</c:v>
                </c:pt>
                <c:pt idx="66">
                  <c:v>-2.8251317624645611E-2</c:v>
                </c:pt>
                <c:pt idx="67">
                  <c:v>-2.8357638955184811E-2</c:v>
                </c:pt>
                <c:pt idx="68">
                  <c:v>-2.8357638955184811E-2</c:v>
                </c:pt>
                <c:pt idx="69">
                  <c:v>-2.8357638955184811E-2</c:v>
                </c:pt>
                <c:pt idx="70">
                  <c:v>-3.0569471224926578E-2</c:v>
                </c:pt>
                <c:pt idx="71">
                  <c:v>-3.0818716311272587E-2</c:v>
                </c:pt>
                <c:pt idx="72">
                  <c:v>-3.1118507603940498E-2</c:v>
                </c:pt>
                <c:pt idx="73">
                  <c:v>-3.1317206483964577E-2</c:v>
                </c:pt>
                <c:pt idx="74">
                  <c:v>-3.4689858526478615E-2</c:v>
                </c:pt>
                <c:pt idx="75">
                  <c:v>-3.5000107654937274E-2</c:v>
                </c:pt>
                <c:pt idx="76">
                  <c:v>-3.7947474375294499E-2</c:v>
                </c:pt>
                <c:pt idx="77">
                  <c:v>-4.1489194763092194E-2</c:v>
                </c:pt>
                <c:pt idx="78">
                  <c:v>-4.1841275234713815E-2</c:v>
                </c:pt>
                <c:pt idx="79">
                  <c:v>-4.1980713045257023E-2</c:v>
                </c:pt>
                <c:pt idx="80">
                  <c:v>-4.1980713045257023E-2</c:v>
                </c:pt>
                <c:pt idx="81">
                  <c:v>-4.1980713045257023E-2</c:v>
                </c:pt>
                <c:pt idx="82">
                  <c:v>-4.1980713045257023E-2</c:v>
                </c:pt>
                <c:pt idx="83">
                  <c:v>-4.1980713045257023E-2</c:v>
                </c:pt>
                <c:pt idx="84">
                  <c:v>-4.1980713045257023E-2</c:v>
                </c:pt>
                <c:pt idx="85">
                  <c:v>-4.1980713045257023E-2</c:v>
                </c:pt>
                <c:pt idx="86">
                  <c:v>-4.1980713045257023E-2</c:v>
                </c:pt>
                <c:pt idx="87">
                  <c:v>-4.2236930022130192E-2</c:v>
                </c:pt>
                <c:pt idx="88">
                  <c:v>-4.2236930022130192E-2</c:v>
                </c:pt>
                <c:pt idx="89">
                  <c:v>-4.8924716010309191E-2</c:v>
                </c:pt>
                <c:pt idx="90">
                  <c:v>-4.8994434915580795E-2</c:v>
                </c:pt>
                <c:pt idx="91">
                  <c:v>-5.2651191497076644E-2</c:v>
                </c:pt>
                <c:pt idx="92">
                  <c:v>-5.6184197021715371E-2</c:v>
                </c:pt>
                <c:pt idx="93">
                  <c:v>-5.6184197021715371E-2</c:v>
                </c:pt>
                <c:pt idx="94">
                  <c:v>-5.6184197021715371E-2</c:v>
                </c:pt>
                <c:pt idx="95">
                  <c:v>-6.4051975481616341E-2</c:v>
                </c:pt>
                <c:pt idx="96">
                  <c:v>-6.9992026210757341E-2</c:v>
                </c:pt>
                <c:pt idx="97">
                  <c:v>-6.9992026210757341E-2</c:v>
                </c:pt>
                <c:pt idx="98">
                  <c:v>-6.9992026210757341E-2</c:v>
                </c:pt>
                <c:pt idx="99">
                  <c:v>-7.0176781309727099E-2</c:v>
                </c:pt>
                <c:pt idx="100">
                  <c:v>-7.0176781309727099E-2</c:v>
                </c:pt>
                <c:pt idx="101">
                  <c:v>-7.0176781309727099E-2</c:v>
                </c:pt>
                <c:pt idx="102">
                  <c:v>-7.0457399903445322E-2</c:v>
                </c:pt>
                <c:pt idx="103">
                  <c:v>-7.0506203137135459E-2</c:v>
                </c:pt>
                <c:pt idx="104">
                  <c:v>-7.3087545604816756E-2</c:v>
                </c:pt>
                <c:pt idx="105">
                  <c:v>-7.3087545604816756E-2</c:v>
                </c:pt>
                <c:pt idx="106">
                  <c:v>-7.3359449335376026E-2</c:v>
                </c:pt>
                <c:pt idx="107">
                  <c:v>-7.3359449335376026E-2</c:v>
                </c:pt>
                <c:pt idx="108">
                  <c:v>-7.3359449335376026E-2</c:v>
                </c:pt>
                <c:pt idx="109">
                  <c:v>-7.6629265992614437E-2</c:v>
                </c:pt>
                <c:pt idx="110">
                  <c:v>-7.6629265992614437E-2</c:v>
                </c:pt>
                <c:pt idx="111">
                  <c:v>-7.685236648948357E-2</c:v>
                </c:pt>
                <c:pt idx="112">
                  <c:v>-7.685236648948357E-2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9-4456-9206-79C20C364A3B}"/>
            </c:ext>
          </c:extLst>
        </c:ser>
        <c:ser>
          <c:idx val="8"/>
          <c:order val="8"/>
          <c:tx>
            <c:strRef>
              <c:f>'Active 6'!$W$1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6'!$W$2:$W$19</c:f>
              <c:numCache>
                <c:formatCode>0.00E+00</c:formatCode>
                <c:ptCount val="18"/>
                <c:pt idx="0">
                  <c:v>-0.40970727081309266</c:v>
                </c:pt>
                <c:pt idx="1">
                  <c:v>-0.3439729370546265</c:v>
                </c:pt>
                <c:pt idx="2">
                  <c:v>-0.28388939804828461</c:v>
                </c:pt>
                <c:pt idx="3">
                  <c:v>-0.22945665379406693</c:v>
                </c:pt>
                <c:pt idx="4">
                  <c:v>-0.18067470429197346</c:v>
                </c:pt>
                <c:pt idx="5">
                  <c:v>-0.13754354954200426</c:v>
                </c:pt>
                <c:pt idx="6">
                  <c:v>-0.10006318954415927</c:v>
                </c:pt>
                <c:pt idx="7">
                  <c:v>-6.823362429843853E-2</c:v>
                </c:pt>
                <c:pt idx="8">
                  <c:v>-4.205485380484203E-2</c:v>
                </c:pt>
                <c:pt idx="9">
                  <c:v>-2.1526878063369774E-2</c:v>
                </c:pt>
                <c:pt idx="10">
                  <c:v>-6.649697074021757E-3</c:v>
                </c:pt>
                <c:pt idx="11">
                  <c:v>2.5766891632020231E-3</c:v>
                </c:pt>
                <c:pt idx="12">
                  <c:v>6.1522806483015648E-3</c:v>
                </c:pt>
                <c:pt idx="13">
                  <c:v>4.0770773812768696E-3</c:v>
                </c:pt>
                <c:pt idx="14">
                  <c:v>-3.6489206378720676E-3</c:v>
                </c:pt>
                <c:pt idx="15">
                  <c:v>-1.7025713409145236E-2</c:v>
                </c:pt>
                <c:pt idx="16">
                  <c:v>-3.6053300932542651E-2</c:v>
                </c:pt>
                <c:pt idx="17">
                  <c:v>-6.073168320806431E-2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D9-4456-9206-79C20C364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3848"/>
        <c:axId val="1"/>
      </c:scatterChart>
      <c:valAx>
        <c:axId val="99243848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8544536771617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4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7651301651808"/>
          <c:y val="0.93195266272189348"/>
          <c:w val="0.7081424499356936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40102854752410444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55305417603112E-2"/>
          <c:y val="9.7619274598387734E-2"/>
          <c:w val="0.91645301733525053"/>
          <c:h val="0.7714303651189665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(3)'!$D$21:$D$111</c:f>
              <c:numCache>
                <c:formatCode>General</c:formatCode>
                <c:ptCount val="91"/>
                <c:pt idx="0">
                  <c:v>-4.4819000000000004</c:v>
                </c:pt>
                <c:pt idx="1">
                  <c:v>-4.4818499999999997</c:v>
                </c:pt>
                <c:pt idx="2">
                  <c:v>-4.3940000000000001</c:v>
                </c:pt>
                <c:pt idx="3">
                  <c:v>-4.3939500000000002</c:v>
                </c:pt>
                <c:pt idx="4">
                  <c:v>-4.3038499999999997</c:v>
                </c:pt>
                <c:pt idx="5">
                  <c:v>-4.2268499999999998</c:v>
                </c:pt>
                <c:pt idx="6">
                  <c:v>-3.9901</c:v>
                </c:pt>
                <c:pt idx="7">
                  <c:v>-3.9900500000000001</c:v>
                </c:pt>
                <c:pt idx="8">
                  <c:v>-3.8767999999999998</c:v>
                </c:pt>
                <c:pt idx="9">
                  <c:v>-3.8767499999999999</c:v>
                </c:pt>
                <c:pt idx="10">
                  <c:v>-3.7771499999999998</c:v>
                </c:pt>
                <c:pt idx="11">
                  <c:v>-3.7770999999999999</c:v>
                </c:pt>
                <c:pt idx="12">
                  <c:v>-3.4752999999999998</c:v>
                </c:pt>
                <c:pt idx="13">
                  <c:v>-0.11774999999999999</c:v>
                </c:pt>
                <c:pt idx="14">
                  <c:v>-0.10605000000000001</c:v>
                </c:pt>
                <c:pt idx="15">
                  <c:v>-2.5049999999999999E-2</c:v>
                </c:pt>
                <c:pt idx="16">
                  <c:v>-2.9999999999999997E-4</c:v>
                </c:pt>
                <c:pt idx="17">
                  <c:v>0</c:v>
                </c:pt>
                <c:pt idx="18">
                  <c:v>2.9999999999999997E-4</c:v>
                </c:pt>
                <c:pt idx="19">
                  <c:v>5.5000000000000003E-4</c:v>
                </c:pt>
                <c:pt idx="20">
                  <c:v>5.5000000000000003E-4</c:v>
                </c:pt>
                <c:pt idx="21">
                  <c:v>0.92025000000000001</c:v>
                </c:pt>
                <c:pt idx="22">
                  <c:v>0.92274999999999996</c:v>
                </c:pt>
                <c:pt idx="23">
                  <c:v>0.93054999999999999</c:v>
                </c:pt>
                <c:pt idx="24">
                  <c:v>0.99034999999999995</c:v>
                </c:pt>
                <c:pt idx="25">
                  <c:v>1.0360499999999999</c:v>
                </c:pt>
                <c:pt idx="26">
                  <c:v>1.7593000000000001</c:v>
                </c:pt>
                <c:pt idx="27">
                  <c:v>1.8216000000000001</c:v>
                </c:pt>
                <c:pt idx="28">
                  <c:v>1.8283499999999999</c:v>
                </c:pt>
                <c:pt idx="29">
                  <c:v>1.9055</c:v>
                </c:pt>
                <c:pt idx="30">
                  <c:v>2.0176500000000002</c:v>
                </c:pt>
                <c:pt idx="31">
                  <c:v>2.0226000000000002</c:v>
                </c:pt>
                <c:pt idx="32">
                  <c:v>2.1455000000000002</c:v>
                </c:pt>
                <c:pt idx="33">
                  <c:v>2.2153999999999998</c:v>
                </c:pt>
                <c:pt idx="34">
                  <c:v>2.2154500000000001</c:v>
                </c:pt>
                <c:pt idx="35">
                  <c:v>2.2157</c:v>
                </c:pt>
                <c:pt idx="36">
                  <c:v>2.2159499999999999</c:v>
                </c:pt>
                <c:pt idx="37">
                  <c:v>2.2159499999999999</c:v>
                </c:pt>
                <c:pt idx="38">
                  <c:v>2.2160000000000002</c:v>
                </c:pt>
                <c:pt idx="39">
                  <c:v>2.21685</c:v>
                </c:pt>
                <c:pt idx="40">
                  <c:v>2.2288999999999999</c:v>
                </c:pt>
                <c:pt idx="41">
                  <c:v>2.3290999999999999</c:v>
                </c:pt>
                <c:pt idx="42">
                  <c:v>2.3448000000000002</c:v>
                </c:pt>
                <c:pt idx="43">
                  <c:v>2.3453499999999998</c:v>
                </c:pt>
                <c:pt idx="44">
                  <c:v>2.4145500000000002</c:v>
                </c:pt>
                <c:pt idx="45">
                  <c:v>2.4178000000000002</c:v>
                </c:pt>
                <c:pt idx="46">
                  <c:v>2.4343499999999998</c:v>
                </c:pt>
                <c:pt idx="47">
                  <c:v>2.43485</c:v>
                </c:pt>
                <c:pt idx="48">
                  <c:v>2.4348999999999998</c:v>
                </c:pt>
                <c:pt idx="49">
                  <c:v>2.43655</c:v>
                </c:pt>
                <c:pt idx="50">
                  <c:v>2.4376000000000002</c:v>
                </c:pt>
                <c:pt idx="51">
                  <c:v>2.6170499999999999</c:v>
                </c:pt>
                <c:pt idx="52">
                  <c:v>2.6363500000000002</c:v>
                </c:pt>
                <c:pt idx="53">
                  <c:v>2.6553</c:v>
                </c:pt>
                <c:pt idx="54">
                  <c:v>2.7218</c:v>
                </c:pt>
                <c:pt idx="55">
                  <c:v>2.7510500000000002</c:v>
                </c:pt>
                <c:pt idx="56">
                  <c:v>2.7515999999999998</c:v>
                </c:pt>
                <c:pt idx="57">
                  <c:v>2.7544</c:v>
                </c:pt>
                <c:pt idx="58">
                  <c:v>2.75745</c:v>
                </c:pt>
                <c:pt idx="59">
                  <c:v>2.75745</c:v>
                </c:pt>
                <c:pt idx="60">
                  <c:v>2.75745</c:v>
                </c:pt>
                <c:pt idx="61">
                  <c:v>2.8209</c:v>
                </c:pt>
                <c:pt idx="62">
                  <c:v>2.8423500000000002</c:v>
                </c:pt>
                <c:pt idx="63">
                  <c:v>3.0325500000000001</c:v>
                </c:pt>
                <c:pt idx="64">
                  <c:v>3.14825</c:v>
                </c:pt>
                <c:pt idx="65">
                  <c:v>3.14825</c:v>
                </c:pt>
                <c:pt idx="66">
                  <c:v>3.14825</c:v>
                </c:pt>
                <c:pt idx="67">
                  <c:v>3.14825</c:v>
                </c:pt>
                <c:pt idx="68">
                  <c:v>3.13415</c:v>
                </c:pt>
                <c:pt idx="69">
                  <c:v>3.1556000000000002</c:v>
                </c:pt>
                <c:pt idx="70">
                  <c:v>2.2253500000000002</c:v>
                </c:pt>
                <c:pt idx="71">
                  <c:v>2.2259000000000002</c:v>
                </c:pt>
                <c:pt idx="72">
                  <c:v>2.5316000000000001</c:v>
                </c:pt>
                <c:pt idx="73">
                  <c:v>2.5320999999999998</c:v>
                </c:pt>
                <c:pt idx="74">
                  <c:v>1.8191999999999999</c:v>
                </c:pt>
                <c:pt idx="75">
                  <c:v>1.8206</c:v>
                </c:pt>
                <c:pt idx="76">
                  <c:v>1.8220000000000001</c:v>
                </c:pt>
                <c:pt idx="77">
                  <c:v>1.8262</c:v>
                </c:pt>
                <c:pt idx="78">
                  <c:v>2.7305999999999999</c:v>
                </c:pt>
                <c:pt idx="79">
                  <c:v>2.8280500000000002</c:v>
                </c:pt>
                <c:pt idx="80">
                  <c:v>2.8366500000000001</c:v>
                </c:pt>
                <c:pt idx="81">
                  <c:v>2.9390999999999998</c:v>
                </c:pt>
                <c:pt idx="82">
                  <c:v>2.948</c:v>
                </c:pt>
                <c:pt idx="83">
                  <c:v>3.14425</c:v>
                </c:pt>
              </c:numCache>
            </c:numRef>
          </c:xVal>
          <c:yVal>
            <c:numRef>
              <c:f>'Q_fit (3)'!$E$21:$E$111</c:f>
              <c:numCache>
                <c:formatCode>General</c:formatCode>
                <c:ptCount val="91"/>
                <c:pt idx="0">
                  <c:v>-0.5230425700028718</c:v>
                </c:pt>
                <c:pt idx="1">
                  <c:v>-0.53217155500533408</c:v>
                </c:pt>
                <c:pt idx="2">
                  <c:v>-0.52479820000371546</c:v>
                </c:pt>
                <c:pt idx="3">
                  <c:v>-0.51392718500574119</c:v>
                </c:pt>
                <c:pt idx="4">
                  <c:v>-0.52535815499868477</c:v>
                </c:pt>
                <c:pt idx="5">
                  <c:v>-0.5579950550054491</c:v>
                </c:pt>
                <c:pt idx="6">
                  <c:v>-0.45773903000372229</c:v>
                </c:pt>
                <c:pt idx="7">
                  <c:v>-0.44986801500272122</c:v>
                </c:pt>
                <c:pt idx="8">
                  <c:v>-0.43001904000266222</c:v>
                </c:pt>
                <c:pt idx="9">
                  <c:v>-0.43014802500329097</c:v>
                </c:pt>
                <c:pt idx="10">
                  <c:v>-0.41408614499960095</c:v>
                </c:pt>
                <c:pt idx="11">
                  <c:v>-0.40721513000244158</c:v>
                </c:pt>
                <c:pt idx="12">
                  <c:v>-0.3777685900022334</c:v>
                </c:pt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0">
                  <c:v>-5.1188350043958053E-3</c:v>
                </c:pt>
                <c:pt idx="21">
                  <c:v>-3.968925004301127E-3</c:v>
                </c:pt>
                <c:pt idx="22">
                  <c:v>-2.4181750050047413E-3</c:v>
                </c:pt>
                <c:pt idx="23">
                  <c:v>-3.5398350009927526E-3</c:v>
                </c:pt>
                <c:pt idx="24">
                  <c:v>1.8294104993401561E-2</c:v>
                </c:pt>
                <c:pt idx="25">
                  <c:v>1.0301814996637404E-2</c:v>
                </c:pt>
                <c:pt idx="26">
                  <c:v>2.2337900009006262E-3</c:v>
                </c:pt>
                <c:pt idx="27">
                  <c:v>-7.1815199989941902E-3</c:v>
                </c:pt>
                <c:pt idx="28">
                  <c:v>-7.7471000258810818E-4</c:v>
                </c:pt>
                <c:pt idx="29">
                  <c:v>3.8165000296430662E-4</c:v>
                </c:pt>
                <c:pt idx="30">
                  <c:v>-5.322155004250817E-3</c:v>
                </c:pt>
                <c:pt idx="31">
                  <c:v>-9.7012199985329062E-3</c:v>
                </c:pt>
                <c:pt idx="32">
                  <c:v>-7.7463499983423389E-3</c:v>
                </c:pt>
                <c:pt idx="33">
                  <c:v>-7.5673799947253428E-3</c:v>
                </c:pt>
                <c:pt idx="34">
                  <c:v>-7.6963649989920668E-3</c:v>
                </c:pt>
                <c:pt idx="35">
                  <c:v>-7.1412899997085333E-3</c:v>
                </c:pt>
                <c:pt idx="36">
                  <c:v>-7.7862149992142804E-3</c:v>
                </c:pt>
                <c:pt idx="37">
                  <c:v>-7.4862149995169602E-3</c:v>
                </c:pt>
                <c:pt idx="38">
                  <c:v>-6.9151999996392988E-3</c:v>
                </c:pt>
                <c:pt idx="39">
                  <c:v>-6.407945002138149E-3</c:v>
                </c:pt>
                <c:pt idx="40">
                  <c:v>-7.893330002843868E-3</c:v>
                </c:pt>
                <c:pt idx="41">
                  <c:v>-1.8379270004516002E-2</c:v>
                </c:pt>
                <c:pt idx="42">
                  <c:v>-1.7680560005828738E-2</c:v>
                </c:pt>
                <c:pt idx="43">
                  <c:v>-2.0699395005067345E-2</c:v>
                </c:pt>
                <c:pt idx="44">
                  <c:v>-1.7614634998608381E-2</c:v>
                </c:pt>
                <c:pt idx="45">
                  <c:v>-1.7498660003184341E-2</c:v>
                </c:pt>
                <c:pt idx="46">
                  <c:v>-1.8192695002653636E-2</c:v>
                </c:pt>
                <c:pt idx="47">
                  <c:v>-1.8782544997520745E-2</c:v>
                </c:pt>
                <c:pt idx="48">
                  <c:v>-1.9811530000879429E-2</c:v>
                </c:pt>
                <c:pt idx="49">
                  <c:v>-1.826803499716334E-2</c:v>
                </c:pt>
                <c:pt idx="50">
                  <c:v>-1.6276720001769718E-2</c:v>
                </c:pt>
                <c:pt idx="51">
                  <c:v>-2.0203885003866162E-2</c:v>
                </c:pt>
                <c:pt idx="52">
                  <c:v>-2.6992095001332927E-2</c:v>
                </c:pt>
                <c:pt idx="53">
                  <c:v>-2.8377410002576653E-2</c:v>
                </c:pt>
                <c:pt idx="54">
                  <c:v>-2.6927459999569692E-2</c:v>
                </c:pt>
                <c:pt idx="55">
                  <c:v>-2.6883685000939295E-2</c:v>
                </c:pt>
                <c:pt idx="56">
                  <c:v>-2.6302520003810059E-2</c:v>
                </c:pt>
                <c:pt idx="57">
                  <c:v>-2.6025679995655082E-2</c:v>
                </c:pt>
                <c:pt idx="58">
                  <c:v>-2.719376500317594E-2</c:v>
                </c:pt>
                <c:pt idx="59">
                  <c:v>-2.719376500317594E-2</c:v>
                </c:pt>
                <c:pt idx="60">
                  <c:v>-2.629376500408398E-2</c:v>
                </c:pt>
                <c:pt idx="61">
                  <c:v>-2.5475730006291997E-2</c:v>
                </c:pt>
                <c:pt idx="62">
                  <c:v>-2.6410294995002914E-2</c:v>
                </c:pt>
                <c:pt idx="63">
                  <c:v>-3.7969235003401991E-2</c:v>
                </c:pt>
                <c:pt idx="64">
                  <c:v>-3.7740524996479508E-2</c:v>
                </c:pt>
                <c:pt idx="65">
                  <c:v>-3.7680524997995235E-2</c:v>
                </c:pt>
                <c:pt idx="66">
                  <c:v>-3.749052499915706E-2</c:v>
                </c:pt>
                <c:pt idx="67">
                  <c:v>-3.690052499587182E-2</c:v>
                </c:pt>
                <c:pt idx="68">
                  <c:v>-3.6466755002038553E-2</c:v>
                </c:pt>
                <c:pt idx="69">
                  <c:v>-3.9501320003182627E-2</c:v>
                </c:pt>
                <c:pt idx="70">
                  <c:v>-8.1353950008633547E-3</c:v>
                </c:pt>
                <c:pt idx="71">
                  <c:v>-9.1542299996945076E-3</c:v>
                </c:pt>
                <c:pt idx="72">
                  <c:v>-1.2368520001473371E-2</c:v>
                </c:pt>
                <c:pt idx="73">
                  <c:v>-1.3958370000182185E-2</c:v>
                </c:pt>
                <c:pt idx="74">
                  <c:v>-9.902399979182519E-4</c:v>
                </c:pt>
                <c:pt idx="75">
                  <c:v>3.3981800006586127E-3</c:v>
                </c:pt>
                <c:pt idx="76">
                  <c:v>8.7865999958012253E-3</c:v>
                </c:pt>
                <c:pt idx="77">
                  <c:v>-1.0481400022399612E-3</c:v>
                </c:pt>
                <c:pt idx="78">
                  <c:v>-2.702881999721285E-2</c:v>
                </c:pt>
                <c:pt idx="79">
                  <c:v>-2.64205849962309E-2</c:v>
                </c:pt>
                <c:pt idx="80">
                  <c:v>-2.6906005005002953E-2</c:v>
                </c:pt>
                <c:pt idx="81">
                  <c:v>-3.6696269999083597E-2</c:v>
                </c:pt>
                <c:pt idx="82">
                  <c:v>-3.6355600008391775E-2</c:v>
                </c:pt>
                <c:pt idx="83">
                  <c:v>-3.8321724998240825E-2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5-4F73-ADE9-46E81720E39D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(3)'!$U$2:$U$22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</c:numCache>
            </c:numRef>
          </c:xVal>
          <c:yVal>
            <c:numRef>
              <c:f>'Q_fit (3)'!$V$2:$V$22</c:f>
              <c:numCache>
                <c:formatCode>General</c:formatCode>
                <c:ptCount val="21"/>
                <c:pt idx="0">
                  <c:v>-0.64232062609622997</c:v>
                </c:pt>
                <c:pt idx="1">
                  <c:v>-0.54153567111550283</c:v>
                </c:pt>
                <c:pt idx="2">
                  <c:v>-0.44916580480904666</c:v>
                </c:pt>
                <c:pt idx="3">
                  <c:v>-0.36521102717686127</c:v>
                </c:pt>
                <c:pt idx="4">
                  <c:v>-0.28967133821894664</c:v>
                </c:pt>
                <c:pt idx="5">
                  <c:v>-0.22254673793530283</c:v>
                </c:pt>
                <c:pt idx="6">
                  <c:v>-0.16383722632592979</c:v>
                </c:pt>
                <c:pt idx="7">
                  <c:v>-0.11354280339082756</c:v>
                </c:pt>
                <c:pt idx="8">
                  <c:v>-7.166346912999616E-2</c:v>
                </c:pt>
                <c:pt idx="9">
                  <c:v>-3.819922354343553E-2</c:v>
                </c:pt>
                <c:pt idx="10">
                  <c:v>-1.3150066631145705E-2</c:v>
                </c:pt>
                <c:pt idx="11">
                  <c:v>3.484001606873322E-3</c:v>
                </c:pt>
                <c:pt idx="12">
                  <c:v>1.1702981170621549E-2</c:v>
                </c:pt>
                <c:pt idx="13">
                  <c:v>1.1506872060098976E-2</c:v>
                </c:pt>
                <c:pt idx="14">
                  <c:v>2.8956742753056125E-3</c:v>
                </c:pt>
                <c:pt idx="15">
                  <c:v>-1.4130612183758551E-2</c:v>
                </c:pt>
                <c:pt idx="16">
                  <c:v>-3.9571987317093521E-2</c:v>
                </c:pt>
                <c:pt idx="17">
                  <c:v>-7.3428451124699284E-2</c:v>
                </c:pt>
                <c:pt idx="18">
                  <c:v>-0.11570000360657584</c:v>
                </c:pt>
                <c:pt idx="19">
                  <c:v>-0.16638664476272319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5-4F73-ADE9-46E81720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035144"/>
        <c:axId val="1"/>
      </c:scatterChart>
      <c:valAx>
        <c:axId val="36803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351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802083544184227"/>
          <c:y val="0.93095463067116613"/>
          <c:w val="0.59768678015505128"/>
          <c:h val="0.97857367829021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40102854752410444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7392520003533E-2"/>
          <c:y val="9.7619274598387734E-2"/>
          <c:w val="0.90359953883124977"/>
          <c:h val="0.7714303651189665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-0.11774999999999999</c:v>
                </c:pt>
                <c:pt idx="1">
                  <c:v>-0.10605000000000001</c:v>
                </c:pt>
                <c:pt idx="2">
                  <c:v>-2.5049999999999999E-2</c:v>
                </c:pt>
                <c:pt idx="3">
                  <c:v>-2.9999999999999997E-4</c:v>
                </c:pt>
                <c:pt idx="4">
                  <c:v>0</c:v>
                </c:pt>
                <c:pt idx="5">
                  <c:v>2.9999999999999997E-4</c:v>
                </c:pt>
                <c:pt idx="6">
                  <c:v>5.5000000000000003E-4</c:v>
                </c:pt>
                <c:pt idx="7">
                  <c:v>5.5000000000000003E-4</c:v>
                </c:pt>
                <c:pt idx="8">
                  <c:v>0.92025000000000001</c:v>
                </c:pt>
                <c:pt idx="9">
                  <c:v>0.92274999999999996</c:v>
                </c:pt>
                <c:pt idx="10">
                  <c:v>0.93054999999999999</c:v>
                </c:pt>
                <c:pt idx="11">
                  <c:v>0.99034999999999995</c:v>
                </c:pt>
                <c:pt idx="12">
                  <c:v>1.0360499999999999</c:v>
                </c:pt>
                <c:pt idx="13">
                  <c:v>1.7593000000000001</c:v>
                </c:pt>
                <c:pt idx="14">
                  <c:v>1.8191999999999999</c:v>
                </c:pt>
                <c:pt idx="15">
                  <c:v>1.8206</c:v>
                </c:pt>
                <c:pt idx="16">
                  <c:v>1.8216000000000001</c:v>
                </c:pt>
                <c:pt idx="17">
                  <c:v>1.8220000000000001</c:v>
                </c:pt>
                <c:pt idx="18">
                  <c:v>1.8262</c:v>
                </c:pt>
                <c:pt idx="19">
                  <c:v>1.8283499999999999</c:v>
                </c:pt>
                <c:pt idx="20">
                  <c:v>1.9055</c:v>
                </c:pt>
                <c:pt idx="21">
                  <c:v>2.0176500000000002</c:v>
                </c:pt>
                <c:pt idx="22">
                  <c:v>2.0226000000000002</c:v>
                </c:pt>
                <c:pt idx="23">
                  <c:v>2.1455000000000002</c:v>
                </c:pt>
                <c:pt idx="24">
                  <c:v>2.2153999999999998</c:v>
                </c:pt>
                <c:pt idx="25">
                  <c:v>2.2154500000000001</c:v>
                </c:pt>
                <c:pt idx="26">
                  <c:v>2.2157</c:v>
                </c:pt>
                <c:pt idx="27">
                  <c:v>2.2159499999999999</c:v>
                </c:pt>
                <c:pt idx="28">
                  <c:v>2.2159499999999999</c:v>
                </c:pt>
                <c:pt idx="29">
                  <c:v>2.2160000000000002</c:v>
                </c:pt>
                <c:pt idx="30">
                  <c:v>2.21685</c:v>
                </c:pt>
                <c:pt idx="31">
                  <c:v>2.2253500000000002</c:v>
                </c:pt>
                <c:pt idx="32">
                  <c:v>2.2259000000000002</c:v>
                </c:pt>
                <c:pt idx="33">
                  <c:v>2.2288999999999999</c:v>
                </c:pt>
                <c:pt idx="34">
                  <c:v>2.3290999999999999</c:v>
                </c:pt>
                <c:pt idx="35">
                  <c:v>2.3448000000000002</c:v>
                </c:pt>
                <c:pt idx="36">
                  <c:v>2.3453499999999998</c:v>
                </c:pt>
                <c:pt idx="37">
                  <c:v>2.4145500000000002</c:v>
                </c:pt>
                <c:pt idx="38">
                  <c:v>2.4178000000000002</c:v>
                </c:pt>
                <c:pt idx="39">
                  <c:v>2.4343499999999998</c:v>
                </c:pt>
                <c:pt idx="40">
                  <c:v>2.43485</c:v>
                </c:pt>
                <c:pt idx="41">
                  <c:v>2.4348999999999998</c:v>
                </c:pt>
                <c:pt idx="42">
                  <c:v>2.43655</c:v>
                </c:pt>
                <c:pt idx="43">
                  <c:v>2.4376000000000002</c:v>
                </c:pt>
                <c:pt idx="44">
                  <c:v>2.5316000000000001</c:v>
                </c:pt>
                <c:pt idx="45">
                  <c:v>2.5320999999999998</c:v>
                </c:pt>
                <c:pt idx="46">
                  <c:v>2.6170499999999999</c:v>
                </c:pt>
                <c:pt idx="47">
                  <c:v>2.6363500000000002</c:v>
                </c:pt>
                <c:pt idx="48">
                  <c:v>2.6553</c:v>
                </c:pt>
                <c:pt idx="49">
                  <c:v>2.7218</c:v>
                </c:pt>
                <c:pt idx="50">
                  <c:v>2.7305999999999999</c:v>
                </c:pt>
                <c:pt idx="51">
                  <c:v>2.7510500000000002</c:v>
                </c:pt>
                <c:pt idx="52">
                  <c:v>2.7515999999999998</c:v>
                </c:pt>
                <c:pt idx="53">
                  <c:v>2.7544</c:v>
                </c:pt>
                <c:pt idx="54">
                  <c:v>2.75745</c:v>
                </c:pt>
                <c:pt idx="55">
                  <c:v>2.75745</c:v>
                </c:pt>
                <c:pt idx="56">
                  <c:v>2.75745</c:v>
                </c:pt>
                <c:pt idx="57">
                  <c:v>2.8209</c:v>
                </c:pt>
                <c:pt idx="58">
                  <c:v>2.8280500000000002</c:v>
                </c:pt>
                <c:pt idx="59">
                  <c:v>2.8366500000000001</c:v>
                </c:pt>
                <c:pt idx="60">
                  <c:v>2.8423500000000002</c:v>
                </c:pt>
                <c:pt idx="61">
                  <c:v>2.9390999999999998</c:v>
                </c:pt>
                <c:pt idx="62">
                  <c:v>2.948</c:v>
                </c:pt>
                <c:pt idx="63">
                  <c:v>3.0325500000000001</c:v>
                </c:pt>
                <c:pt idx="64">
                  <c:v>3.13415</c:v>
                </c:pt>
                <c:pt idx="65">
                  <c:v>3.14425</c:v>
                </c:pt>
                <c:pt idx="66">
                  <c:v>3.14825</c:v>
                </c:pt>
                <c:pt idx="67">
                  <c:v>3.14825</c:v>
                </c:pt>
                <c:pt idx="68">
                  <c:v>3.14825</c:v>
                </c:pt>
                <c:pt idx="69">
                  <c:v>3.14825</c:v>
                </c:pt>
                <c:pt idx="70">
                  <c:v>3.1556000000000002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-1.0940325002593454E-2</c:v>
                </c:pt>
                <c:pt idx="1">
                  <c:v>-1.1222815002838615E-2</c:v>
                </c:pt>
                <c:pt idx="2">
                  <c:v>-5.8785149958566763E-3</c:v>
                </c:pt>
                <c:pt idx="3">
                  <c:v>-5.0260900025023147E-3</c:v>
                </c:pt>
                <c:pt idx="4">
                  <c:v>-5.0000000046566129E-3</c:v>
                </c:pt>
                <c:pt idx="5">
                  <c:v>-4.6739099998376332E-3</c:v>
                </c:pt>
                <c:pt idx="6">
                  <c:v>-5.1188350043958053E-3</c:v>
                </c:pt>
                <c:pt idx="7">
                  <c:v>-5.1188350043958053E-3</c:v>
                </c:pt>
                <c:pt idx="8">
                  <c:v>-3.968925004301127E-3</c:v>
                </c:pt>
                <c:pt idx="9">
                  <c:v>-2.4181750050047413E-3</c:v>
                </c:pt>
                <c:pt idx="10">
                  <c:v>-3.5398350009927526E-3</c:v>
                </c:pt>
                <c:pt idx="11">
                  <c:v>1.8294104993401561E-2</c:v>
                </c:pt>
                <c:pt idx="12">
                  <c:v>1.0301814996637404E-2</c:v>
                </c:pt>
                <c:pt idx="13">
                  <c:v>2.2337900009006262E-3</c:v>
                </c:pt>
                <c:pt idx="14">
                  <c:v>-9.902399979182519E-4</c:v>
                </c:pt>
                <c:pt idx="15">
                  <c:v>3.3981800006586127E-3</c:v>
                </c:pt>
                <c:pt idx="16">
                  <c:v>-7.1815199989941902E-3</c:v>
                </c:pt>
                <c:pt idx="17">
                  <c:v>8.7865999958012253E-3</c:v>
                </c:pt>
                <c:pt idx="18">
                  <c:v>-1.0481400022399612E-3</c:v>
                </c:pt>
                <c:pt idx="19">
                  <c:v>-7.7471000258810818E-4</c:v>
                </c:pt>
                <c:pt idx="20">
                  <c:v>3.8165000296430662E-4</c:v>
                </c:pt>
                <c:pt idx="21">
                  <c:v>-5.322155004250817E-3</c:v>
                </c:pt>
                <c:pt idx="22">
                  <c:v>-9.7012199985329062E-3</c:v>
                </c:pt>
                <c:pt idx="23">
                  <c:v>-7.7463499983423389E-3</c:v>
                </c:pt>
                <c:pt idx="24">
                  <c:v>-7.5673799947253428E-3</c:v>
                </c:pt>
                <c:pt idx="25">
                  <c:v>-7.6963649989920668E-3</c:v>
                </c:pt>
                <c:pt idx="26">
                  <c:v>-7.1412899997085333E-3</c:v>
                </c:pt>
                <c:pt idx="27">
                  <c:v>-7.7862149992142804E-3</c:v>
                </c:pt>
                <c:pt idx="28">
                  <c:v>-7.4862149995169602E-3</c:v>
                </c:pt>
                <c:pt idx="29">
                  <c:v>-6.9151999996392988E-3</c:v>
                </c:pt>
                <c:pt idx="30">
                  <c:v>-6.407945002138149E-3</c:v>
                </c:pt>
                <c:pt idx="31">
                  <c:v>-8.1353950008633547E-3</c:v>
                </c:pt>
                <c:pt idx="32">
                  <c:v>-9.1542299996945076E-3</c:v>
                </c:pt>
                <c:pt idx="33">
                  <c:v>-7.893330002843868E-3</c:v>
                </c:pt>
                <c:pt idx="34">
                  <c:v>-1.8379270004516002E-2</c:v>
                </c:pt>
                <c:pt idx="35">
                  <c:v>-1.7680560005828738E-2</c:v>
                </c:pt>
                <c:pt idx="36">
                  <c:v>-2.0699395005067345E-2</c:v>
                </c:pt>
                <c:pt idx="37">
                  <c:v>-1.7614634998608381E-2</c:v>
                </c:pt>
                <c:pt idx="38">
                  <c:v>-1.7498660003184341E-2</c:v>
                </c:pt>
                <c:pt idx="39">
                  <c:v>-1.8192695002653636E-2</c:v>
                </c:pt>
                <c:pt idx="40">
                  <c:v>-1.8782544997520745E-2</c:v>
                </c:pt>
                <c:pt idx="41">
                  <c:v>-1.9811530000879429E-2</c:v>
                </c:pt>
                <c:pt idx="42">
                  <c:v>-1.826803499716334E-2</c:v>
                </c:pt>
                <c:pt idx="43">
                  <c:v>-1.6276720001769718E-2</c:v>
                </c:pt>
                <c:pt idx="44">
                  <c:v>-1.2368520001473371E-2</c:v>
                </c:pt>
                <c:pt idx="45">
                  <c:v>-1.3958370000182185E-2</c:v>
                </c:pt>
                <c:pt idx="46">
                  <c:v>-2.0203885003866162E-2</c:v>
                </c:pt>
                <c:pt idx="47">
                  <c:v>-2.6992095001332927E-2</c:v>
                </c:pt>
                <c:pt idx="48">
                  <c:v>-2.8377410002576653E-2</c:v>
                </c:pt>
                <c:pt idx="49">
                  <c:v>-2.6927459999569692E-2</c:v>
                </c:pt>
                <c:pt idx="50">
                  <c:v>-2.702881999721285E-2</c:v>
                </c:pt>
                <c:pt idx="51">
                  <c:v>-2.6883685000939295E-2</c:v>
                </c:pt>
                <c:pt idx="52">
                  <c:v>-2.6302520003810059E-2</c:v>
                </c:pt>
                <c:pt idx="53">
                  <c:v>-2.6025679995655082E-2</c:v>
                </c:pt>
                <c:pt idx="54">
                  <c:v>-2.719376500317594E-2</c:v>
                </c:pt>
                <c:pt idx="55">
                  <c:v>-2.719376500317594E-2</c:v>
                </c:pt>
                <c:pt idx="56">
                  <c:v>-2.629376500408398E-2</c:v>
                </c:pt>
                <c:pt idx="57">
                  <c:v>-2.5475730006291997E-2</c:v>
                </c:pt>
                <c:pt idx="58">
                  <c:v>-2.64205849962309E-2</c:v>
                </c:pt>
                <c:pt idx="59">
                  <c:v>-2.6906005005002953E-2</c:v>
                </c:pt>
                <c:pt idx="60">
                  <c:v>-2.6410294995002914E-2</c:v>
                </c:pt>
                <c:pt idx="61">
                  <c:v>-3.6696269999083597E-2</c:v>
                </c:pt>
                <c:pt idx="62">
                  <c:v>-3.6355600008391775E-2</c:v>
                </c:pt>
                <c:pt idx="63">
                  <c:v>-3.7969235003401991E-2</c:v>
                </c:pt>
                <c:pt idx="64">
                  <c:v>-3.6466755002038553E-2</c:v>
                </c:pt>
                <c:pt idx="65">
                  <c:v>-3.8321724998240825E-2</c:v>
                </c:pt>
                <c:pt idx="66">
                  <c:v>-3.7740524996479508E-2</c:v>
                </c:pt>
                <c:pt idx="67">
                  <c:v>-3.7680524997995235E-2</c:v>
                </c:pt>
                <c:pt idx="68">
                  <c:v>-3.749052499915706E-2</c:v>
                </c:pt>
                <c:pt idx="69">
                  <c:v>-3.690052499587182E-2</c:v>
                </c:pt>
                <c:pt idx="70">
                  <c:v>-3.9501320003182627E-2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B6-4F39-896D-93DD8FDA294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-0.5</c:v>
                </c:pt>
                <c:pt idx="1">
                  <c:v>-0.25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1.75</c:v>
                </c:pt>
                <c:pt idx="10">
                  <c:v>2</c:v>
                </c:pt>
                <c:pt idx="11">
                  <c:v>2.25</c:v>
                </c:pt>
                <c:pt idx="12">
                  <c:v>2.5</c:v>
                </c:pt>
                <c:pt idx="13">
                  <c:v>2.75</c:v>
                </c:pt>
                <c:pt idx="14">
                  <c:v>3</c:v>
                </c:pt>
                <c:pt idx="15">
                  <c:v>3.25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-1.8809633120348078E-2</c:v>
                </c:pt>
                <c:pt idx="1">
                  <c:v>-1.1318454455162098E-2</c:v>
                </c:pt>
                <c:pt idx="2">
                  <c:v>-5.1545885446833183E-3</c:v>
                </c:pt>
                <c:pt idx="3">
                  <c:v>-3.1803538891173901E-4</c:v>
                </c:pt>
                <c:pt idx="4">
                  <c:v>3.1912050121526403E-3</c:v>
                </c:pt>
                <c:pt idx="5">
                  <c:v>5.3731326585098214E-3</c:v>
                </c:pt>
                <c:pt idx="6">
                  <c:v>6.2277475501598002E-3</c:v>
                </c:pt>
                <c:pt idx="7">
                  <c:v>5.7550496871025779E-3</c:v>
                </c:pt>
                <c:pt idx="8">
                  <c:v>3.9550390693381607E-3</c:v>
                </c:pt>
                <c:pt idx="9">
                  <c:v>8.277156968665364E-4</c:v>
                </c:pt>
                <c:pt idx="10">
                  <c:v>-3.6269204303122846E-3</c:v>
                </c:pt>
                <c:pt idx="11">
                  <c:v>-9.4088693121983022E-3</c:v>
                </c:pt>
                <c:pt idx="12">
                  <c:v>-1.651813094879153E-2</c:v>
                </c:pt>
                <c:pt idx="13">
                  <c:v>-2.4954705340091948E-2</c:v>
                </c:pt>
                <c:pt idx="14">
                  <c:v>-3.4718592486099563E-2</c:v>
                </c:pt>
                <c:pt idx="15">
                  <c:v>-4.5809792386814374E-2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B6-4F39-896D-93DD8FDA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037440"/>
        <c:axId val="1"/>
      </c:scatterChart>
      <c:valAx>
        <c:axId val="36803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37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930618248554403"/>
          <c:y val="0.93095463067116613"/>
          <c:w val="0.59897212719875303"/>
          <c:h val="0.97857367829021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VZ Lib -- [44788.5950, 0.35825797]</a:t>
            </a:r>
          </a:p>
        </c:rich>
      </c:tx>
      <c:layout>
        <c:manualLayout>
          <c:xMode val="edge"/>
          <c:yMode val="edge"/>
          <c:x val="0.1806456128467812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523440405731975"/>
          <c:w val="0.84731360742945105"/>
          <c:h val="0.7109388560082550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(3)'!$H$40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5">
                  <c:v>-2.0608100003300933E-2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1-4FA1-BF0A-F94DAE22BB16}"/>
            </c:ext>
          </c:extLst>
        </c:ser>
        <c:ser>
          <c:idx val="8"/>
          <c:order val="1"/>
          <c:tx>
            <c:strRef>
              <c:f>'A (3)'!$U$1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(3)'!$U$2:$U$48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1-4FA1-BF0A-F94DAE22BB16}"/>
            </c:ext>
          </c:extLst>
        </c:ser>
        <c:ser>
          <c:idx val="0"/>
          <c:order val="2"/>
          <c:tx>
            <c:strRef>
              <c:f>'A (3)'!$I$40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1-4FA1-BF0A-F94DAE22BB16}"/>
            </c:ext>
          </c:extLst>
        </c:ser>
        <c:ser>
          <c:idx val="1"/>
          <c:order val="3"/>
          <c:tx>
            <c:strRef>
              <c:f>'A (3)'!$J$40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(3)'!$J$41:$J$998</c:f>
              <c:numCache>
                <c:formatCode>0.0000</c:formatCode>
                <c:ptCount val="958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3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1-4FA1-BF0A-F94DAE22BB16}"/>
            </c:ext>
          </c:extLst>
        </c:ser>
        <c:ser>
          <c:idx val="2"/>
          <c:order val="4"/>
          <c:tx>
            <c:strRef>
              <c:f>'A (3)'!$K$40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(3)'!$K$41:$K$998</c:f>
              <c:numCache>
                <c:formatCode>0.0000</c:formatCode>
                <c:ptCount val="958"/>
                <c:pt idx="24">
                  <c:v>1.0301814996637404E-2</c:v>
                </c:pt>
                <c:pt idx="25">
                  <c:v>2.2337900009006262E-3</c:v>
                </c:pt>
                <c:pt idx="29">
                  <c:v>-5.322155004250817E-3</c:v>
                </c:pt>
                <c:pt idx="30">
                  <c:v>-9.7012199985329062E-3</c:v>
                </c:pt>
                <c:pt idx="31">
                  <c:v>-7.7463499983423389E-3</c:v>
                </c:pt>
                <c:pt idx="32">
                  <c:v>-7.5673799947253428E-3</c:v>
                </c:pt>
                <c:pt idx="33">
                  <c:v>-7.6963649989920668E-3</c:v>
                </c:pt>
                <c:pt idx="34">
                  <c:v>-7.1412899997085333E-3</c:v>
                </c:pt>
                <c:pt idx="35">
                  <c:v>-7.7862149992142804E-3</c:v>
                </c:pt>
                <c:pt idx="36">
                  <c:v>-7.4862149995169602E-3</c:v>
                </c:pt>
                <c:pt idx="37">
                  <c:v>-6.9151999996392988E-3</c:v>
                </c:pt>
                <c:pt idx="38">
                  <c:v>-6.407945002138149E-3</c:v>
                </c:pt>
                <c:pt idx="39">
                  <c:v>-7.893330002843868E-3</c:v>
                </c:pt>
                <c:pt idx="40">
                  <c:v>-1.8379270004516002E-2</c:v>
                </c:pt>
                <c:pt idx="41">
                  <c:v>-1.7680560005828738E-2</c:v>
                </c:pt>
                <c:pt idx="42">
                  <c:v>-2.0699395005067345E-2</c:v>
                </c:pt>
                <c:pt idx="43">
                  <c:v>-1.7614634998608381E-2</c:v>
                </c:pt>
                <c:pt idx="44">
                  <c:v>-1.7498660003184341E-2</c:v>
                </c:pt>
                <c:pt idx="45">
                  <c:v>-1.8192695002653636E-2</c:v>
                </c:pt>
                <c:pt idx="46">
                  <c:v>-1.8782544997520745E-2</c:v>
                </c:pt>
                <c:pt idx="47">
                  <c:v>-1.9811530000879429E-2</c:v>
                </c:pt>
                <c:pt idx="48">
                  <c:v>-1.826803499716334E-2</c:v>
                </c:pt>
                <c:pt idx="49">
                  <c:v>-1.6276720001769718E-2</c:v>
                </c:pt>
                <c:pt idx="50">
                  <c:v>-2.0203885003866162E-2</c:v>
                </c:pt>
                <c:pt idx="51">
                  <c:v>-2.6992095001332927E-2</c:v>
                </c:pt>
                <c:pt idx="52">
                  <c:v>-2.8377410002576653E-2</c:v>
                </c:pt>
                <c:pt idx="53">
                  <c:v>-2.6927459999569692E-2</c:v>
                </c:pt>
                <c:pt idx="54">
                  <c:v>-2.6883685000939295E-2</c:v>
                </c:pt>
                <c:pt idx="55">
                  <c:v>-2.6302520003810059E-2</c:v>
                </c:pt>
                <c:pt idx="56">
                  <c:v>-2.6025679995655082E-2</c:v>
                </c:pt>
                <c:pt idx="57">
                  <c:v>-2.719376500317594E-2</c:v>
                </c:pt>
                <c:pt idx="58">
                  <c:v>-2.629376500408398E-2</c:v>
                </c:pt>
                <c:pt idx="59">
                  <c:v>-2.5475730006291997E-2</c:v>
                </c:pt>
                <c:pt idx="60">
                  <c:v>-2.6410294995002914E-2</c:v>
                </c:pt>
                <c:pt idx="61">
                  <c:v>-3.7969235003401991E-2</c:v>
                </c:pt>
                <c:pt idx="62">
                  <c:v>-3.6466755002038553E-2</c:v>
                </c:pt>
                <c:pt idx="63">
                  <c:v>-3.7740524996479508E-2</c:v>
                </c:pt>
                <c:pt idx="64">
                  <c:v>-3.7680524997995235E-2</c:v>
                </c:pt>
                <c:pt idx="65">
                  <c:v>-3.749052499915706E-2</c:v>
                </c:pt>
                <c:pt idx="66">
                  <c:v>-3.690052499587182E-2</c:v>
                </c:pt>
                <c:pt idx="67">
                  <c:v>-3.9501320003182627E-2</c:v>
                </c:pt>
                <c:pt idx="68">
                  <c:v>-9.902399979182519E-4</c:v>
                </c:pt>
                <c:pt idx="69">
                  <c:v>3.3981800006586127E-3</c:v>
                </c:pt>
                <c:pt idx="70">
                  <c:v>8.7865999958012253E-3</c:v>
                </c:pt>
                <c:pt idx="71">
                  <c:v>-1.0481400022399612E-3</c:v>
                </c:pt>
                <c:pt idx="72">
                  <c:v>-8.1353950008633547E-3</c:v>
                </c:pt>
                <c:pt idx="73">
                  <c:v>-9.1542299996945076E-3</c:v>
                </c:pt>
                <c:pt idx="74">
                  <c:v>-1.2368520001473371E-2</c:v>
                </c:pt>
                <c:pt idx="75">
                  <c:v>-1.3958370000182185E-2</c:v>
                </c:pt>
                <c:pt idx="76">
                  <c:v>-2.702881999721285E-2</c:v>
                </c:pt>
                <c:pt idx="77">
                  <c:v>-2.64205849962309E-2</c:v>
                </c:pt>
                <c:pt idx="78">
                  <c:v>-2.6906005005002953E-2</c:v>
                </c:pt>
                <c:pt idx="79">
                  <c:v>-3.6696269999083597E-2</c:v>
                </c:pt>
                <c:pt idx="80">
                  <c:v>-3.6355600008391775E-2</c:v>
                </c:pt>
                <c:pt idx="81">
                  <c:v>-3.8321724998240825E-2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1-4FA1-BF0A-F94DAE22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99840"/>
        <c:axId val="1"/>
      </c:scatterChart>
      <c:valAx>
        <c:axId val="9849984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998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40233236151603496"/>
          <c:y val="1.2594458438287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3556851311949E-2"/>
          <c:y val="0.10579358100005534"/>
          <c:w val="0.87609329446064144"/>
          <c:h val="0.72040390871466264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(3)'!$H$40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5">
                  <c:v>-2.0608100003300933E-2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D-46B0-B58A-C8ABBF5E7FAF}"/>
            </c:ext>
          </c:extLst>
        </c:ser>
        <c:ser>
          <c:idx val="8"/>
          <c:order val="1"/>
          <c:tx>
            <c:strRef>
              <c:f>'A (3)'!$U$1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(3)'!$U$2:$U$48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D-46B0-B58A-C8ABBF5E7FAF}"/>
            </c:ext>
          </c:extLst>
        </c:ser>
        <c:ser>
          <c:idx val="0"/>
          <c:order val="2"/>
          <c:tx>
            <c:strRef>
              <c:f>'A (3)'!$I$40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D-46B0-B58A-C8ABBF5E7FAF}"/>
            </c:ext>
          </c:extLst>
        </c:ser>
        <c:ser>
          <c:idx val="1"/>
          <c:order val="3"/>
          <c:tx>
            <c:strRef>
              <c:f>'A (3)'!$J$40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(3)'!$J$41:$J$998</c:f>
              <c:numCache>
                <c:formatCode>0.0000</c:formatCode>
                <c:ptCount val="958"/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3">
                  <c:v>1.8294104993401561E-2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D-46B0-B58A-C8ABBF5E7FAF}"/>
            </c:ext>
          </c:extLst>
        </c:ser>
        <c:ser>
          <c:idx val="2"/>
          <c:order val="4"/>
          <c:tx>
            <c:strRef>
              <c:f>'A (3)'!$K$40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  <c:pt idx="68">
                  <c:v>18192</c:v>
                </c:pt>
                <c:pt idx="69">
                  <c:v>18206</c:v>
                </c:pt>
                <c:pt idx="70">
                  <c:v>18220</c:v>
                </c:pt>
                <c:pt idx="71">
                  <c:v>18262</c:v>
                </c:pt>
                <c:pt idx="72">
                  <c:v>22253.5</c:v>
                </c:pt>
                <c:pt idx="73">
                  <c:v>22259</c:v>
                </c:pt>
                <c:pt idx="74">
                  <c:v>25316</c:v>
                </c:pt>
                <c:pt idx="75">
                  <c:v>25321</c:v>
                </c:pt>
                <c:pt idx="76">
                  <c:v>27306</c:v>
                </c:pt>
                <c:pt idx="77">
                  <c:v>28280.5</c:v>
                </c:pt>
                <c:pt idx="78">
                  <c:v>28366.5</c:v>
                </c:pt>
                <c:pt idx="79">
                  <c:v>29391</c:v>
                </c:pt>
                <c:pt idx="80">
                  <c:v>29480</c:v>
                </c:pt>
                <c:pt idx="81">
                  <c:v>31442.5</c:v>
                </c:pt>
              </c:numCache>
            </c:numRef>
          </c:xVal>
          <c:yVal>
            <c:numRef>
              <c:f>'A (3)'!$K$41:$K$998</c:f>
              <c:numCache>
                <c:formatCode>0.0000</c:formatCode>
                <c:ptCount val="958"/>
                <c:pt idx="24">
                  <c:v>1.0301814996637404E-2</c:v>
                </c:pt>
                <c:pt idx="25">
                  <c:v>2.2337900009006262E-3</c:v>
                </c:pt>
                <c:pt idx="29">
                  <c:v>-5.322155004250817E-3</c:v>
                </c:pt>
                <c:pt idx="30">
                  <c:v>-9.7012199985329062E-3</c:v>
                </c:pt>
                <c:pt idx="31">
                  <c:v>-7.7463499983423389E-3</c:v>
                </c:pt>
                <c:pt idx="32">
                  <c:v>-7.5673799947253428E-3</c:v>
                </c:pt>
                <c:pt idx="33">
                  <c:v>-7.6963649989920668E-3</c:v>
                </c:pt>
                <c:pt idx="34">
                  <c:v>-7.1412899997085333E-3</c:v>
                </c:pt>
                <c:pt idx="35">
                  <c:v>-7.7862149992142804E-3</c:v>
                </c:pt>
                <c:pt idx="36">
                  <c:v>-7.4862149995169602E-3</c:v>
                </c:pt>
                <c:pt idx="37">
                  <c:v>-6.9151999996392988E-3</c:v>
                </c:pt>
                <c:pt idx="38">
                  <c:v>-6.407945002138149E-3</c:v>
                </c:pt>
                <c:pt idx="39">
                  <c:v>-7.893330002843868E-3</c:v>
                </c:pt>
                <c:pt idx="40">
                  <c:v>-1.8379270004516002E-2</c:v>
                </c:pt>
                <c:pt idx="41">
                  <c:v>-1.7680560005828738E-2</c:v>
                </c:pt>
                <c:pt idx="42">
                  <c:v>-2.0699395005067345E-2</c:v>
                </c:pt>
                <c:pt idx="43">
                  <c:v>-1.7614634998608381E-2</c:v>
                </c:pt>
                <c:pt idx="44">
                  <c:v>-1.7498660003184341E-2</c:v>
                </c:pt>
                <c:pt idx="45">
                  <c:v>-1.8192695002653636E-2</c:v>
                </c:pt>
                <c:pt idx="46">
                  <c:v>-1.8782544997520745E-2</c:v>
                </c:pt>
                <c:pt idx="47">
                  <c:v>-1.9811530000879429E-2</c:v>
                </c:pt>
                <c:pt idx="48">
                  <c:v>-1.826803499716334E-2</c:v>
                </c:pt>
                <c:pt idx="49">
                  <c:v>-1.6276720001769718E-2</c:v>
                </c:pt>
                <c:pt idx="50">
                  <c:v>-2.0203885003866162E-2</c:v>
                </c:pt>
                <c:pt idx="51">
                  <c:v>-2.6992095001332927E-2</c:v>
                </c:pt>
                <c:pt idx="52">
                  <c:v>-2.8377410002576653E-2</c:v>
                </c:pt>
                <c:pt idx="53">
                  <c:v>-2.6927459999569692E-2</c:v>
                </c:pt>
                <c:pt idx="54">
                  <c:v>-2.6883685000939295E-2</c:v>
                </c:pt>
                <c:pt idx="55">
                  <c:v>-2.6302520003810059E-2</c:v>
                </c:pt>
                <c:pt idx="56">
                  <c:v>-2.6025679995655082E-2</c:v>
                </c:pt>
                <c:pt idx="57">
                  <c:v>-2.719376500317594E-2</c:v>
                </c:pt>
                <c:pt idx="58">
                  <c:v>-2.629376500408398E-2</c:v>
                </c:pt>
                <c:pt idx="59">
                  <c:v>-2.5475730006291997E-2</c:v>
                </c:pt>
                <c:pt idx="60">
                  <c:v>-2.6410294995002914E-2</c:v>
                </c:pt>
                <c:pt idx="61">
                  <c:v>-3.7969235003401991E-2</c:v>
                </c:pt>
                <c:pt idx="62">
                  <c:v>-3.6466755002038553E-2</c:v>
                </c:pt>
                <c:pt idx="63">
                  <c:v>-3.7740524996479508E-2</c:v>
                </c:pt>
                <c:pt idx="64">
                  <c:v>-3.7680524997995235E-2</c:v>
                </c:pt>
                <c:pt idx="65">
                  <c:v>-3.749052499915706E-2</c:v>
                </c:pt>
                <c:pt idx="66">
                  <c:v>-3.690052499587182E-2</c:v>
                </c:pt>
                <c:pt idx="67">
                  <c:v>-3.9501320003182627E-2</c:v>
                </c:pt>
                <c:pt idx="68">
                  <c:v>-9.902399979182519E-4</c:v>
                </c:pt>
                <c:pt idx="69">
                  <c:v>3.3981800006586127E-3</c:v>
                </c:pt>
                <c:pt idx="70">
                  <c:v>8.7865999958012253E-3</c:v>
                </c:pt>
                <c:pt idx="71">
                  <c:v>-1.0481400022399612E-3</c:v>
                </c:pt>
                <c:pt idx="72">
                  <c:v>-8.1353950008633547E-3</c:v>
                </c:pt>
                <c:pt idx="73">
                  <c:v>-9.1542299996945076E-3</c:v>
                </c:pt>
                <c:pt idx="74">
                  <c:v>-1.2368520001473371E-2</c:v>
                </c:pt>
                <c:pt idx="75">
                  <c:v>-1.3958370000182185E-2</c:v>
                </c:pt>
                <c:pt idx="76">
                  <c:v>-2.702881999721285E-2</c:v>
                </c:pt>
                <c:pt idx="77">
                  <c:v>-2.64205849962309E-2</c:v>
                </c:pt>
                <c:pt idx="78">
                  <c:v>-2.6906005005002953E-2</c:v>
                </c:pt>
                <c:pt idx="79">
                  <c:v>-3.6696269999083597E-2</c:v>
                </c:pt>
                <c:pt idx="80">
                  <c:v>-3.6355600008391775E-2</c:v>
                </c:pt>
                <c:pt idx="81">
                  <c:v>-3.8321724998240825E-2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D-46B0-B58A-C8ABBF5E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00168"/>
        <c:axId val="1"/>
      </c:scatterChart>
      <c:valAx>
        <c:axId val="98500168"/>
        <c:scaling>
          <c:orientation val="minMax"/>
          <c:max val="3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1428571428571"/>
              <c:y val="0.9319909822355328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2886297376093291E-3"/>
              <c:y val="0.3803531737374137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001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5597667638484"/>
          <c:y val="0.92191541548490308"/>
          <c:w val="0.41253644314868798"/>
          <c:h val="5.54156171284634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1a.  VZ Lib -- [44788.5950, 0.35825797]</a:t>
            </a:r>
          </a:p>
        </c:rich>
      </c:tx>
      <c:layout>
        <c:manualLayout>
          <c:xMode val="edge"/>
          <c:yMode val="edge"/>
          <c:x val="0.18924776338441565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523440405731975"/>
          <c:w val="0.84731360742945105"/>
          <c:h val="0.7109388560082550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(5)'!$H$40</c:f>
              <c:strCache>
                <c:ptCount val="1"/>
                <c:pt idx="0">
                  <c:v>old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E-44BE-973E-DA7043002208}"/>
            </c:ext>
          </c:extLst>
        </c:ser>
        <c:ser>
          <c:idx val="8"/>
          <c:order val="1"/>
          <c:tx>
            <c:strRef>
              <c:f>'A (5)'!$U$1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(5)'!$U$2:$U$48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E-44BE-973E-DA7043002208}"/>
            </c:ext>
          </c:extLst>
        </c:ser>
        <c:ser>
          <c:idx val="0"/>
          <c:order val="2"/>
          <c:tx>
            <c:strRef>
              <c:f>'A (5)'!$I$40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E-44BE-973E-DA7043002208}"/>
            </c:ext>
          </c:extLst>
        </c:ser>
        <c:ser>
          <c:idx val="1"/>
          <c:order val="3"/>
          <c:tx>
            <c:strRef>
              <c:f>'A (5)'!$J$40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(5)'!$J$41:$J$998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E-44BE-973E-DA7043002208}"/>
            </c:ext>
          </c:extLst>
        </c:ser>
        <c:ser>
          <c:idx val="2"/>
          <c:order val="4"/>
          <c:tx>
            <c:strRef>
              <c:f>'A (5)'!$K$40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(5)'!$K$41:$K$998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E-44BE-973E-DA7043002208}"/>
            </c:ext>
          </c:extLst>
        </c:ser>
        <c:ser>
          <c:idx val="3"/>
          <c:order val="5"/>
          <c:tx>
            <c:strRef>
              <c:f>'A (5)'!$L$40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(5)'!$L$41:$L$998</c:f>
              <c:numCache>
                <c:formatCode>0.0000</c:formatCode>
                <c:ptCount val="958"/>
                <c:pt idx="24">
                  <c:v>1.0301814996637404E-2</c:v>
                </c:pt>
                <c:pt idx="29">
                  <c:v>-5.322155004250817E-3</c:v>
                </c:pt>
                <c:pt idx="30">
                  <c:v>-9.7012199985329062E-3</c:v>
                </c:pt>
                <c:pt idx="31">
                  <c:v>-7.7463499983423389E-3</c:v>
                </c:pt>
                <c:pt idx="35">
                  <c:v>-7.7862149992142804E-3</c:v>
                </c:pt>
                <c:pt idx="39">
                  <c:v>-7.893330002843868E-3</c:v>
                </c:pt>
                <c:pt idx="40">
                  <c:v>-1.8379270004516002E-2</c:v>
                </c:pt>
                <c:pt idx="45">
                  <c:v>-1.8192695002653636E-2</c:v>
                </c:pt>
                <c:pt idx="46">
                  <c:v>-1.8782544997520745E-2</c:v>
                </c:pt>
                <c:pt idx="47">
                  <c:v>-1.9811530000879429E-2</c:v>
                </c:pt>
                <c:pt idx="48">
                  <c:v>-1.826803499716334E-2</c:v>
                </c:pt>
                <c:pt idx="49">
                  <c:v>-1.6276720001769718E-2</c:v>
                </c:pt>
                <c:pt idx="51">
                  <c:v>-2.6992095001332927E-2</c:v>
                </c:pt>
                <c:pt idx="52">
                  <c:v>-2.8377410002576653E-2</c:v>
                </c:pt>
                <c:pt idx="53">
                  <c:v>-2.6927459999569692E-2</c:v>
                </c:pt>
                <c:pt idx="54">
                  <c:v>-2.6883685000939295E-2</c:v>
                </c:pt>
                <c:pt idx="55">
                  <c:v>-2.6302520003810059E-2</c:v>
                </c:pt>
                <c:pt idx="56">
                  <c:v>-2.6025679995655082E-2</c:v>
                </c:pt>
                <c:pt idx="57">
                  <c:v>-2.719376500317594E-2</c:v>
                </c:pt>
                <c:pt idx="58">
                  <c:v>-2.629376500408398E-2</c:v>
                </c:pt>
                <c:pt idx="59">
                  <c:v>-2.5475730006291997E-2</c:v>
                </c:pt>
                <c:pt idx="60">
                  <c:v>-2.6410294995002914E-2</c:v>
                </c:pt>
                <c:pt idx="61">
                  <c:v>-3.7969235003401991E-2</c:v>
                </c:pt>
                <c:pt idx="62">
                  <c:v>-3.6466755002038553E-2</c:v>
                </c:pt>
                <c:pt idx="63">
                  <c:v>-3.7740524996479508E-2</c:v>
                </c:pt>
                <c:pt idx="64">
                  <c:v>-3.7680524997995235E-2</c:v>
                </c:pt>
                <c:pt idx="65">
                  <c:v>-3.749052499915706E-2</c:v>
                </c:pt>
                <c:pt idx="66">
                  <c:v>-3.690052499587182E-2</c:v>
                </c:pt>
                <c:pt idx="67">
                  <c:v>-3.9501320003182627E-2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E-44BE-973E-DA7043002208}"/>
            </c:ext>
          </c:extLst>
        </c:ser>
        <c:ser>
          <c:idx val="4"/>
          <c:order val="6"/>
          <c:tx>
            <c:strRef>
              <c:f>'A (5)'!$N$40</c:f>
              <c:strCache>
                <c:ptCount val="1"/>
                <c:pt idx="0">
                  <c:v>Qian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(5)'!$N$41:$N$998</c:f>
              <c:numCache>
                <c:formatCode>0.0000</c:formatCode>
                <c:ptCount val="958"/>
                <c:pt idx="5">
                  <c:v>-2.0608100003300933E-2</c:v>
                </c:pt>
                <c:pt idx="13">
                  <c:v>-1.0940325002593454E-2</c:v>
                </c:pt>
                <c:pt idx="14">
                  <c:v>-1.1222815002838615E-2</c:v>
                </c:pt>
                <c:pt idx="15">
                  <c:v>-5.8785149958566763E-3</c:v>
                </c:pt>
                <c:pt idx="16">
                  <c:v>-5.0260900025023147E-3</c:v>
                </c:pt>
                <c:pt idx="17">
                  <c:v>-5.0000000046566129E-3</c:v>
                </c:pt>
                <c:pt idx="18">
                  <c:v>-4.6739099998376332E-3</c:v>
                </c:pt>
                <c:pt idx="19">
                  <c:v>-5.1188350043958053E-3</c:v>
                </c:pt>
                <c:pt idx="23">
                  <c:v>1.8294104993401561E-2</c:v>
                </c:pt>
                <c:pt idx="25">
                  <c:v>2.2337900009006262E-3</c:v>
                </c:pt>
                <c:pt idx="32">
                  <c:v>-7.5673799947253428E-3</c:v>
                </c:pt>
                <c:pt idx="33">
                  <c:v>-7.6963649989920668E-3</c:v>
                </c:pt>
                <c:pt idx="34">
                  <c:v>-7.1412899997085333E-3</c:v>
                </c:pt>
                <c:pt idx="36">
                  <c:v>-7.4862149995169602E-3</c:v>
                </c:pt>
                <c:pt idx="37">
                  <c:v>-6.9151999996392988E-3</c:v>
                </c:pt>
                <c:pt idx="38">
                  <c:v>-6.407945002138149E-3</c:v>
                </c:pt>
                <c:pt idx="41">
                  <c:v>-1.7680560005828738E-2</c:v>
                </c:pt>
                <c:pt idx="42">
                  <c:v>-2.0699395005067345E-2</c:v>
                </c:pt>
                <c:pt idx="43">
                  <c:v>-1.7614634998608381E-2</c:v>
                </c:pt>
                <c:pt idx="44">
                  <c:v>-1.7498660003184341E-2</c:v>
                </c:pt>
                <c:pt idx="50">
                  <c:v>-2.0203885003866162E-2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E-44BE-973E-DA704300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0160"/>
        <c:axId val="1"/>
      </c:scatterChart>
      <c:valAx>
        <c:axId val="9848016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801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40233236151603496"/>
          <c:y val="1.2594458438287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3556851311949E-2"/>
          <c:y val="0.10579358100005534"/>
          <c:w val="0.87609329446064144"/>
          <c:h val="0.72040390871466264"/>
        </c:manualLayout>
      </c:layout>
      <c:scatterChart>
        <c:scatterStyle val="lineMarker"/>
        <c:varyColors val="0"/>
        <c:ser>
          <c:idx val="6"/>
          <c:order val="0"/>
          <c:tx>
            <c:strRef>
              <c:f>'A (5)'!$H$40</c:f>
              <c:strCache>
                <c:ptCount val="1"/>
                <c:pt idx="0">
                  <c:v>old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(5)'!$H$41:$H$998</c:f>
              <c:numCache>
                <c:formatCode>0.0000</c:formatCode>
                <c:ptCount val="958"/>
                <c:pt idx="0">
                  <c:v>1.4344384999276372E-2</c:v>
                </c:pt>
                <c:pt idx="1">
                  <c:v>5.2153999968140852E-3</c:v>
                </c:pt>
                <c:pt idx="2">
                  <c:v>1.2588754998432705E-2</c:v>
                </c:pt>
                <c:pt idx="3">
                  <c:v>2.3459769996406976E-2</c:v>
                </c:pt>
                <c:pt idx="4">
                  <c:v>1.2028799999825424E-2</c:v>
                </c:pt>
                <c:pt idx="6">
                  <c:v>7.9647924998425879E-2</c:v>
                </c:pt>
                <c:pt idx="7">
                  <c:v>8.7518939999426948E-2</c:v>
                </c:pt>
                <c:pt idx="8">
                  <c:v>-7.1761070001230109E-2</c:v>
                </c:pt>
                <c:pt idx="9">
                  <c:v>-7.1890055001858855E-2</c:v>
                </c:pt>
                <c:pt idx="10">
                  <c:v>-5.5828175001806812E-2</c:v>
                </c:pt>
                <c:pt idx="11">
                  <c:v>-4.8957160004647449E-2</c:v>
                </c:pt>
                <c:pt idx="12">
                  <c:v>-1.9510620004439261E-2</c:v>
                </c:pt>
                <c:pt idx="26">
                  <c:v>-7.1815199989941902E-3</c:v>
                </c:pt>
                <c:pt idx="27">
                  <c:v>-7.7471000258810818E-4</c:v>
                </c:pt>
                <c:pt idx="28">
                  <c:v>3.8165000296430662E-4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0-409C-9880-E32BC9733757}"/>
            </c:ext>
          </c:extLst>
        </c:ser>
        <c:ser>
          <c:idx val="8"/>
          <c:order val="1"/>
          <c:tx>
            <c:strRef>
              <c:f>'A (5)'!$U$1</c:f>
              <c:strCache>
                <c:ptCount val="1"/>
                <c:pt idx="0">
                  <c:v>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(5)'!$T$2:$T$48</c:f>
              <c:numCache>
                <c:formatCode>General</c:formatCode>
                <c:ptCount val="47"/>
                <c:pt idx="0">
                  <c:v>-50000</c:v>
                </c:pt>
                <c:pt idx="1">
                  <c:v>-47000</c:v>
                </c:pt>
                <c:pt idx="2">
                  <c:v>-44000</c:v>
                </c:pt>
                <c:pt idx="3">
                  <c:v>-41000</c:v>
                </c:pt>
                <c:pt idx="4">
                  <c:v>-38000</c:v>
                </c:pt>
                <c:pt idx="5">
                  <c:v>-35000</c:v>
                </c:pt>
                <c:pt idx="6">
                  <c:v>-32000</c:v>
                </c:pt>
                <c:pt idx="7">
                  <c:v>-29000</c:v>
                </c:pt>
                <c:pt idx="8">
                  <c:v>-26000</c:v>
                </c:pt>
                <c:pt idx="9">
                  <c:v>-23000</c:v>
                </c:pt>
                <c:pt idx="10">
                  <c:v>-20000</c:v>
                </c:pt>
                <c:pt idx="11">
                  <c:v>-17000</c:v>
                </c:pt>
                <c:pt idx="12">
                  <c:v>-14000</c:v>
                </c:pt>
                <c:pt idx="13">
                  <c:v>-11000</c:v>
                </c:pt>
                <c:pt idx="14">
                  <c:v>-8000</c:v>
                </c:pt>
                <c:pt idx="15">
                  <c:v>-5000</c:v>
                </c:pt>
                <c:pt idx="16">
                  <c:v>-2000</c:v>
                </c:pt>
                <c:pt idx="17">
                  <c:v>1000</c:v>
                </c:pt>
                <c:pt idx="18">
                  <c:v>4000</c:v>
                </c:pt>
                <c:pt idx="19">
                  <c:v>7000</c:v>
                </c:pt>
                <c:pt idx="20">
                  <c:v>10000</c:v>
                </c:pt>
                <c:pt idx="21">
                  <c:v>13000</c:v>
                </c:pt>
                <c:pt idx="22">
                  <c:v>16000</c:v>
                </c:pt>
                <c:pt idx="23">
                  <c:v>19000</c:v>
                </c:pt>
                <c:pt idx="24">
                  <c:v>22000</c:v>
                </c:pt>
                <c:pt idx="25">
                  <c:v>25000</c:v>
                </c:pt>
                <c:pt idx="26">
                  <c:v>28000</c:v>
                </c:pt>
                <c:pt idx="27">
                  <c:v>31000</c:v>
                </c:pt>
                <c:pt idx="28">
                  <c:v>34000</c:v>
                </c:pt>
                <c:pt idx="29">
                  <c:v>37000</c:v>
                </c:pt>
                <c:pt idx="30">
                  <c:v>40000</c:v>
                </c:pt>
              </c:numCache>
            </c:numRef>
          </c:xVal>
          <c:yVal>
            <c:numRef>
              <c:f>'A (5)'!$U$2:$U$48</c:f>
              <c:numCache>
                <c:formatCode>0.00E+00</c:formatCode>
                <c:ptCount val="47"/>
                <c:pt idx="0">
                  <c:v>-2.4116646712860732E-3</c:v>
                </c:pt>
                <c:pt idx="1">
                  <c:v>-1.2245417502814967E-2</c:v>
                </c:pt>
                <c:pt idx="2">
                  <c:v>-1.8576008529944024E-2</c:v>
                </c:pt>
                <c:pt idx="3">
                  <c:v>-1.9606286523095484E-2</c:v>
                </c:pt>
                <c:pt idx="4">
                  <c:v>-1.504370111303514E-2</c:v>
                </c:pt>
                <c:pt idx="5">
                  <c:v>-6.1833491193481098E-3</c:v>
                </c:pt>
                <c:pt idx="6">
                  <c:v>4.459664827930844E-3</c:v>
                </c:pt>
                <c:pt idx="7">
                  <c:v>1.3864191513875064E-2</c:v>
                </c:pt>
                <c:pt idx="8">
                  <c:v>1.9360651335953161E-2</c:v>
                </c:pt>
                <c:pt idx="9">
                  <c:v>1.9388848369155966E-2</c:v>
                </c:pt>
                <c:pt idx="10">
                  <c:v>1.3940863477408144E-2</c:v>
                </c:pt>
                <c:pt idx="11">
                  <c:v>4.5633023202190422E-3</c:v>
                </c:pt>
                <c:pt idx="12">
                  <c:v>-6.0817398874989381E-3</c:v>
                </c:pt>
                <c:pt idx="13">
                  <c:v>-1.4972367846032748E-2</c:v>
                </c:pt>
                <c:pt idx="14">
                  <c:v>-1.9584712159384836E-2</c:v>
                </c:pt>
                <c:pt idx="15">
                  <c:v>-1.8609380616597351E-2</c:v>
                </c:pt>
                <c:pt idx="16">
                  <c:v>-1.2323155605566212E-2</c:v>
                </c:pt>
                <c:pt idx="17">
                  <c:v>-2.5104238444010338E-3</c:v>
                </c:pt>
                <c:pt idx="18">
                  <c:v>8.0433578126955993E-3</c:v>
                </c:pt>
                <c:pt idx="19">
                  <c:v>1.6342370537836114E-2</c:v>
                </c:pt>
                <c:pt idx="20">
                  <c:v>2.0030857184990085E-2</c:v>
                </c:pt>
                <c:pt idx="21">
                  <c:v>1.8061851515212314E-2</c:v>
                </c:pt>
                <c:pt idx="22">
                  <c:v>1.0994380700300543E-2</c:v>
                </c:pt>
                <c:pt idx="23">
                  <c:v>8.3477417413112276E-4</c:v>
                </c:pt>
                <c:pt idx="24">
                  <c:v>-9.5328734820343108E-3</c:v>
                </c:pt>
                <c:pt idx="25">
                  <c:v>-1.716541101213544E-2</c:v>
                </c:pt>
                <c:pt idx="26">
                  <c:v>-1.9896103387310245E-2</c:v>
                </c:pt>
                <c:pt idx="27">
                  <c:v>-1.6949703287081837E-2</c:v>
                </c:pt>
                <c:pt idx="28">
                  <c:v>-9.1625207023972154E-3</c:v>
                </c:pt>
                <c:pt idx="29">
                  <c:v>1.2549805391913352E-3</c:v>
                </c:pt>
                <c:pt idx="30">
                  <c:v>1.1345667557042607E-2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0-409C-9880-E32BC9733757}"/>
            </c:ext>
          </c:extLst>
        </c:ser>
        <c:ser>
          <c:idx val="0"/>
          <c:order val="2"/>
          <c:tx>
            <c:strRef>
              <c:f>'A (5)'!$I$40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(5)'!$I$41:$I$998</c:f>
              <c:numCache>
                <c:formatCode>0.0000</c:formatCode>
                <c:ptCount val="958"/>
                <c:pt idx="20">
                  <c:v>-3.968925004301127E-3</c:v>
                </c:pt>
                <c:pt idx="21">
                  <c:v>-2.4181750050047413E-3</c:v>
                </c:pt>
                <c:pt idx="22">
                  <c:v>-3.5398350009927526E-3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0-409C-9880-E32BC9733757}"/>
            </c:ext>
          </c:extLst>
        </c:ser>
        <c:ser>
          <c:idx val="1"/>
          <c:order val="3"/>
          <c:tx>
            <c:strRef>
              <c:f>'A (5)'!$J$40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(5)'!$J$41:$J$998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0-409C-9880-E32BC9733757}"/>
            </c:ext>
          </c:extLst>
        </c:ser>
        <c:ser>
          <c:idx val="2"/>
          <c:order val="4"/>
          <c:tx>
            <c:strRef>
              <c:f>'A (5)'!$K$40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(5)'!$F$41:$F$998</c:f>
              <c:numCache>
                <c:formatCode>General</c:formatCode>
                <c:ptCount val="958"/>
                <c:pt idx="0">
                  <c:v>-44820.5</c:v>
                </c:pt>
                <c:pt idx="1">
                  <c:v>-44820</c:v>
                </c:pt>
                <c:pt idx="2">
                  <c:v>-43941.5</c:v>
                </c:pt>
                <c:pt idx="3">
                  <c:v>-43941</c:v>
                </c:pt>
                <c:pt idx="4">
                  <c:v>-43040</c:v>
                </c:pt>
                <c:pt idx="5">
                  <c:v>-42270</c:v>
                </c:pt>
                <c:pt idx="6">
                  <c:v>-39902.5</c:v>
                </c:pt>
                <c:pt idx="7">
                  <c:v>-39902</c:v>
                </c:pt>
                <c:pt idx="8">
                  <c:v>-38769</c:v>
                </c:pt>
                <c:pt idx="9">
                  <c:v>-38768.5</c:v>
                </c:pt>
                <c:pt idx="10">
                  <c:v>-37772.5</c:v>
                </c:pt>
                <c:pt idx="11">
                  <c:v>-37772</c:v>
                </c:pt>
                <c:pt idx="12">
                  <c:v>-34754</c:v>
                </c:pt>
                <c:pt idx="13">
                  <c:v>-1177.5</c:v>
                </c:pt>
                <c:pt idx="14">
                  <c:v>-1060.5</c:v>
                </c:pt>
                <c:pt idx="15">
                  <c:v>-250.5</c:v>
                </c:pt>
                <c:pt idx="16">
                  <c:v>-3</c:v>
                </c:pt>
                <c:pt idx="17">
                  <c:v>0</c:v>
                </c:pt>
                <c:pt idx="18">
                  <c:v>3</c:v>
                </c:pt>
                <c:pt idx="19">
                  <c:v>5.5</c:v>
                </c:pt>
                <c:pt idx="20">
                  <c:v>9202.5</c:v>
                </c:pt>
                <c:pt idx="21">
                  <c:v>9227.5</c:v>
                </c:pt>
                <c:pt idx="22">
                  <c:v>9305.5</c:v>
                </c:pt>
                <c:pt idx="23">
                  <c:v>9903.5</c:v>
                </c:pt>
                <c:pt idx="24">
                  <c:v>10360.5</c:v>
                </c:pt>
                <c:pt idx="25">
                  <c:v>17593</c:v>
                </c:pt>
                <c:pt idx="26">
                  <c:v>18216</c:v>
                </c:pt>
                <c:pt idx="27">
                  <c:v>18283.5</c:v>
                </c:pt>
                <c:pt idx="28">
                  <c:v>19055</c:v>
                </c:pt>
                <c:pt idx="29">
                  <c:v>20176.5</c:v>
                </c:pt>
                <c:pt idx="30">
                  <c:v>20226</c:v>
                </c:pt>
                <c:pt idx="31">
                  <c:v>21455</c:v>
                </c:pt>
                <c:pt idx="32">
                  <c:v>22154</c:v>
                </c:pt>
                <c:pt idx="33">
                  <c:v>22154.5</c:v>
                </c:pt>
                <c:pt idx="34">
                  <c:v>22157</c:v>
                </c:pt>
                <c:pt idx="35">
                  <c:v>22159.5</c:v>
                </c:pt>
                <c:pt idx="36">
                  <c:v>22159.5</c:v>
                </c:pt>
                <c:pt idx="37">
                  <c:v>22160</c:v>
                </c:pt>
                <c:pt idx="38">
                  <c:v>22168.5</c:v>
                </c:pt>
                <c:pt idx="39">
                  <c:v>22289</c:v>
                </c:pt>
                <c:pt idx="40">
                  <c:v>23291</c:v>
                </c:pt>
                <c:pt idx="41">
                  <c:v>23448</c:v>
                </c:pt>
                <c:pt idx="42">
                  <c:v>23453.5</c:v>
                </c:pt>
                <c:pt idx="43">
                  <c:v>24145.5</c:v>
                </c:pt>
                <c:pt idx="44">
                  <c:v>24178</c:v>
                </c:pt>
                <c:pt idx="45">
                  <c:v>24343.5</c:v>
                </c:pt>
                <c:pt idx="46">
                  <c:v>24348.5</c:v>
                </c:pt>
                <c:pt idx="47">
                  <c:v>24349</c:v>
                </c:pt>
                <c:pt idx="48">
                  <c:v>24365.5</c:v>
                </c:pt>
                <c:pt idx="49">
                  <c:v>24376</c:v>
                </c:pt>
                <c:pt idx="50">
                  <c:v>26170.5</c:v>
                </c:pt>
                <c:pt idx="51">
                  <c:v>26363.5</c:v>
                </c:pt>
                <c:pt idx="52">
                  <c:v>26553</c:v>
                </c:pt>
                <c:pt idx="53">
                  <c:v>27218</c:v>
                </c:pt>
                <c:pt idx="54">
                  <c:v>27510.5</c:v>
                </c:pt>
                <c:pt idx="55">
                  <c:v>27516</c:v>
                </c:pt>
                <c:pt idx="56">
                  <c:v>27544</c:v>
                </c:pt>
                <c:pt idx="57">
                  <c:v>27574.5</c:v>
                </c:pt>
                <c:pt idx="58">
                  <c:v>27574.5</c:v>
                </c:pt>
                <c:pt idx="59">
                  <c:v>28209</c:v>
                </c:pt>
                <c:pt idx="60">
                  <c:v>28423.5</c:v>
                </c:pt>
                <c:pt idx="61">
                  <c:v>30325.5</c:v>
                </c:pt>
                <c:pt idx="62">
                  <c:v>31341.5</c:v>
                </c:pt>
                <c:pt idx="63">
                  <c:v>31482.5</c:v>
                </c:pt>
                <c:pt idx="64">
                  <c:v>31482.5</c:v>
                </c:pt>
                <c:pt idx="65">
                  <c:v>31482.5</c:v>
                </c:pt>
                <c:pt idx="66">
                  <c:v>31482.5</c:v>
                </c:pt>
                <c:pt idx="67">
                  <c:v>31556</c:v>
                </c:pt>
              </c:numCache>
            </c:numRef>
          </c:xVal>
          <c:yVal>
            <c:numRef>
              <c:f>'A (5)'!$K$41:$K$998</c:f>
              <c:numCache>
                <c:formatCode>0.0000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0-409C-9880-E32BC973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0488"/>
        <c:axId val="1"/>
      </c:scatterChart>
      <c:valAx>
        <c:axId val="98480488"/>
        <c:scaling>
          <c:orientation val="minMax"/>
          <c:max val="3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1428571428571"/>
              <c:y val="0.9319909822355328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2886297376093291E-3"/>
              <c:y val="0.3803531737374137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804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84839650145775"/>
          <c:y val="0.92191541548490308"/>
          <c:w val="0.39795918367346939"/>
          <c:h val="5.54156171284634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/ HIP 76050 - O-C Diagr.</a:t>
            </a:r>
          </a:p>
        </c:rich>
      </c:tx>
      <c:layout>
        <c:manualLayout>
          <c:xMode val="edge"/>
          <c:yMode val="edge"/>
          <c:x val="0.27862597175353082"/>
          <c:y val="1.6611256926217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206106870229"/>
          <c:y val="0.11627925839528784"/>
          <c:w val="0.84160305343511455"/>
          <c:h val="0.687708756794988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Orig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(4)'!$C$21:$C$160</c:f>
              <c:numCache>
                <c:formatCode>0.0000</c:formatCode>
                <c:ptCount val="140"/>
                <c:pt idx="0" formatCode="General">
                  <c:v>29645.01</c:v>
                </c:pt>
                <c:pt idx="1">
                  <c:v>44366.7353</c:v>
                </c:pt>
                <c:pt idx="2">
                  <c:v>44408.6512</c:v>
                </c:pt>
                <c:pt idx="3">
                  <c:v>44698.845500000003</c:v>
                </c:pt>
                <c:pt idx="4">
                  <c:v>44787.515200000002</c:v>
                </c:pt>
                <c:pt idx="5">
                  <c:v>44788.59</c:v>
                </c:pt>
                <c:pt idx="6">
                  <c:v>44789.665099999998</c:v>
                </c:pt>
                <c:pt idx="7">
                  <c:v>44790.560299999997</c:v>
                </c:pt>
                <c:pt idx="8" formatCode="General">
                  <c:v>48500.337</c:v>
                </c:pt>
                <c:pt idx="9" formatCode="General">
                  <c:v>52725.434500000003</c:v>
                </c:pt>
                <c:pt idx="10" formatCode="General">
                  <c:v>52725.613499999999</c:v>
                </c:pt>
                <c:pt idx="11" formatCode="General">
                  <c:v>52726.509700000002</c:v>
                </c:pt>
                <c:pt idx="12" formatCode="General">
                  <c:v>52727.404699999999</c:v>
                </c:pt>
                <c:pt idx="13" formatCode="General">
                  <c:v>52727.404999999999</c:v>
                </c:pt>
                <c:pt idx="14" formatCode="General">
                  <c:v>52727.584699999999</c:v>
                </c:pt>
                <c:pt idx="15" formatCode="General">
                  <c:v>52730.630400000002</c:v>
                </c:pt>
                <c:pt idx="16" formatCode="General">
                  <c:v>53189.010199999997</c:v>
                </c:pt>
                <c:pt idx="17" formatCode="General">
                  <c:v>53438.895199999999</c:v>
                </c:pt>
                <c:pt idx="18" formatCode="General">
                  <c:v>53450.538699999997</c:v>
                </c:pt>
                <c:pt idx="19" formatCode="General">
                  <c:v>53509.829700000002</c:v>
                </c:pt>
                <c:pt idx="20" formatCode="General">
                  <c:v>53511.6204</c:v>
                </c:pt>
                <c:pt idx="21" formatCode="General">
                  <c:v>53511.798499999997</c:v>
                </c:pt>
                <c:pt idx="22" formatCode="General">
                  <c:v>53517.711300000003</c:v>
                </c:pt>
                <c:pt idx="23" formatCode="General">
                  <c:v>54164.364999999998</c:v>
                </c:pt>
                <c:pt idx="24" formatCode="General">
                  <c:v>54233.502</c:v>
                </c:pt>
                <c:pt idx="25" formatCode="General">
                  <c:v>54301.390500000001</c:v>
                </c:pt>
                <c:pt idx="26" formatCode="General">
                  <c:v>54539.633500000004</c:v>
                </c:pt>
                <c:pt idx="27" formatCode="General">
                  <c:v>54644.423999999999</c:v>
                </c:pt>
                <c:pt idx="28" formatCode="General">
                  <c:v>54646.394999999997</c:v>
                </c:pt>
                <c:pt idx="29" formatCode="General">
                  <c:v>54656.426500000001</c:v>
                </c:pt>
                <c:pt idx="30" formatCode="General">
                  <c:v>54667.352200000001</c:v>
                </c:pt>
                <c:pt idx="31" formatCode="General">
                  <c:v>54894.668599999997</c:v>
                </c:pt>
                <c:pt idx="32" formatCode="General">
                  <c:v>54971.514000000003</c:v>
                </c:pt>
                <c:pt idx="33" formatCode="General">
                  <c:v>51314.614999999998</c:v>
                </c:pt>
                <c:pt idx="34" formatCode="General">
                  <c:v>51615.201000000001</c:v>
                </c:pt>
                <c:pt idx="35" formatCode="General">
                  <c:v>52034.711000000003</c:v>
                </c:pt>
                <c:pt idx="36" formatCode="General">
                  <c:v>52475.012000000002</c:v>
                </c:pt>
                <c:pt idx="37" formatCode="General">
                  <c:v>52773.798999999999</c:v>
                </c:pt>
                <c:pt idx="38" formatCode="General">
                  <c:v>53132.762999999999</c:v>
                </c:pt>
                <c:pt idx="39">
                  <c:v>53521.474999999999</c:v>
                </c:pt>
                <c:pt idx="40">
                  <c:v>51338.803819784996</c:v>
                </c:pt>
                <c:pt idx="41">
                  <c:v>28731.308000000001</c:v>
                </c:pt>
                <c:pt idx="42">
                  <c:v>28731.477999999999</c:v>
                </c:pt>
                <c:pt idx="43">
                  <c:v>29046.215</c:v>
                </c:pt>
                <c:pt idx="44">
                  <c:v>29046.404999999999</c:v>
                </c:pt>
                <c:pt idx="45">
                  <c:v>29369.184000000001</c:v>
                </c:pt>
                <c:pt idx="46">
                  <c:v>30493.286</c:v>
                </c:pt>
                <c:pt idx="47">
                  <c:v>30493.473000000002</c:v>
                </c:pt>
                <c:pt idx="48">
                  <c:v>30899.22</c:v>
                </c:pt>
                <c:pt idx="49">
                  <c:v>30899.399000000001</c:v>
                </c:pt>
                <c:pt idx="50">
                  <c:v>31256.240000000002</c:v>
                </c:pt>
                <c:pt idx="51">
                  <c:v>31256.425999999999</c:v>
                </c:pt>
                <c:pt idx="52">
                  <c:v>32337.678</c:v>
                </c:pt>
                <c:pt idx="53">
                  <c:v>48085.46</c:v>
                </c:pt>
                <c:pt idx="54">
                  <c:v>48094.417999999998</c:v>
                </c:pt>
                <c:pt idx="55">
                  <c:v>48122.360999999997</c:v>
                </c:pt>
                <c:pt idx="56" formatCode="General">
                  <c:v>48336.621099999997</c:v>
                </c:pt>
                <c:pt idx="57" formatCode="General">
                  <c:v>51091.429700000001</c:v>
                </c:pt>
                <c:pt idx="58" formatCode="General">
                  <c:v>53189.010199999997</c:v>
                </c:pt>
                <c:pt idx="59" formatCode="General">
                  <c:v>53190.977599999998</c:v>
                </c:pt>
                <c:pt idx="60" formatCode="General">
                  <c:v>53521.474999999999</c:v>
                </c:pt>
                <c:pt idx="61" formatCode="General">
                  <c:v>54667.352200000001</c:v>
                </c:pt>
                <c:pt idx="62" formatCode="General">
                  <c:v>54667.3531</c:v>
                </c:pt>
                <c:pt idx="63" formatCode="General">
                  <c:v>55652.909099999997</c:v>
                </c:pt>
                <c:pt idx="64" formatCode="General">
                  <c:v>56016.900699999998</c:v>
                </c:pt>
                <c:pt idx="65" formatCode="General">
                  <c:v>56067.413800000002</c:v>
                </c:pt>
                <c:pt idx="66" formatCode="General">
                  <c:v>56067.413860000001</c:v>
                </c:pt>
                <c:pt idx="67" formatCode="General">
                  <c:v>56067.414049999999</c:v>
                </c:pt>
                <c:pt idx="68" formatCode="General">
                  <c:v>56067.414640000003</c:v>
                </c:pt>
                <c:pt idx="69" formatCode="General">
                  <c:v>56093.743999999999</c:v>
                </c:pt>
              </c:numCache>
            </c:numRef>
          </c:xVal>
          <c:yVal>
            <c:numRef>
              <c:f>'A (4)'!$H$21:$H$160</c:f>
              <c:numCache>
                <c:formatCode>0.0000</c:formatCode>
                <c:ptCount val="140"/>
                <c:pt idx="0">
                  <c:v>-5.5134400026872754E-3</c:v>
                </c:pt>
                <c:pt idx="1">
                  <c:v>6.2089599960017949E-3</c:v>
                </c:pt>
                <c:pt idx="2">
                  <c:v>5.9323200039216317E-3</c:v>
                </c:pt>
                <c:pt idx="3">
                  <c:v>1.1317119999148417E-2</c:v>
                </c:pt>
                <c:pt idx="4">
                  <c:v>1.2181919999420643E-2</c:v>
                </c:pt>
                <c:pt idx="5">
                  <c:v>1.2208159998408519E-2</c:v>
                </c:pt>
                <c:pt idx="6">
                  <c:v>1.2534399997093715E-2</c:v>
                </c:pt>
                <c:pt idx="7">
                  <c:v>1.2089600000763312E-2</c:v>
                </c:pt>
                <c:pt idx="8">
                  <c:v>2.8028000000631437E-2</c:v>
                </c:pt>
                <c:pt idx="9">
                  <c:v>1.0748480002803262E-2</c:v>
                </c:pt>
                <c:pt idx="10">
                  <c:v>1.0619519998726901E-2</c:v>
                </c:pt>
                <c:pt idx="11">
                  <c:v>1.1174719998962246E-2</c:v>
                </c:pt>
                <c:pt idx="12">
                  <c:v>1.052992000040831E-2</c:v>
                </c:pt>
                <c:pt idx="13">
                  <c:v>1.0829920000105631E-2</c:v>
                </c:pt>
                <c:pt idx="14">
                  <c:v>1.1400960000173654E-2</c:v>
                </c:pt>
                <c:pt idx="15">
                  <c:v>1.1908640000910964E-2</c:v>
                </c:pt>
                <c:pt idx="16">
                  <c:v>6.9999999686842784E-4</c:v>
                </c:pt>
                <c:pt idx="17">
                  <c:v>8.0080000043381006E-4</c:v>
                </c:pt>
                <c:pt idx="18">
                  <c:v>9.1839999367948622E-4</c:v>
                </c:pt>
                <c:pt idx="19">
                  <c:v>2.3263999901246279E-4</c:v>
                </c:pt>
                <c:pt idx="20">
                  <c:v>-3.5696000122698024E-4</c:v>
                </c:pt>
                <c:pt idx="21">
                  <c:v>-1.3859200043953024E-3</c:v>
                </c:pt>
                <c:pt idx="22">
                  <c:v>1.5840000560274348E-4</c:v>
                </c:pt>
                <c:pt idx="23">
                  <c:v>-1.6872000051080249E-3</c:v>
                </c:pt>
                <c:pt idx="24">
                  <c:v>-8.4657600018545054E-3</c:v>
                </c:pt>
                <c:pt idx="25">
                  <c:v>-9.8415999964345247E-3</c:v>
                </c:pt>
                <c:pt idx="26">
                  <c:v>-8.3583999949041754E-3</c:v>
                </c:pt>
                <c:pt idx="27">
                  <c:v>-8.3000000013271347E-3</c:v>
                </c:pt>
                <c:pt idx="28">
                  <c:v>-7.7185600021039136E-3</c:v>
                </c:pt>
                <c:pt idx="29">
                  <c:v>-7.440319997840561E-3</c:v>
                </c:pt>
                <c:pt idx="30">
                  <c:v>-8.6068800010252744E-3</c:v>
                </c:pt>
                <c:pt idx="31">
                  <c:v>-6.8571200026781298E-3</c:v>
                </c:pt>
                <c:pt idx="32">
                  <c:v>-7.7809599970350973E-3</c:v>
                </c:pt>
                <c:pt idx="33">
                  <c:v>1.0937439998087939E-2</c:v>
                </c:pt>
                <c:pt idx="34">
                  <c:v>1.8542559999332298E-2</c:v>
                </c:pt>
                <c:pt idx="35">
                  <c:v>8.5182399998302571E-3</c:v>
                </c:pt>
                <c:pt idx="36">
                  <c:v>1.0534560002270155E-2</c:v>
                </c:pt>
                <c:pt idx="37">
                  <c:v>1.0429279995150864E-2</c:v>
                </c:pt>
                <c:pt idx="38">
                  <c:v>-6.5600033849477768E-6</c:v>
                </c:pt>
                <c:pt idx="39">
                  <c:v>2.1502399977180175E-3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37-415B-A2E3-90CD29779DDF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(4)'!$D$34:$D$42</c:f>
                <c:numCache>
                  <c:formatCode>General</c:formatCode>
                  <c:ptCount val="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2.0999999999999999E-3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(4)'!$C$21:$C$160</c:f>
              <c:numCache>
                <c:formatCode>0.0000</c:formatCode>
                <c:ptCount val="140"/>
                <c:pt idx="0" formatCode="General">
                  <c:v>29645.01</c:v>
                </c:pt>
                <c:pt idx="1">
                  <c:v>44366.7353</c:v>
                </c:pt>
                <c:pt idx="2">
                  <c:v>44408.6512</c:v>
                </c:pt>
                <c:pt idx="3">
                  <c:v>44698.845500000003</c:v>
                </c:pt>
                <c:pt idx="4">
                  <c:v>44787.515200000002</c:v>
                </c:pt>
                <c:pt idx="5">
                  <c:v>44788.59</c:v>
                </c:pt>
                <c:pt idx="6">
                  <c:v>44789.665099999998</c:v>
                </c:pt>
                <c:pt idx="7">
                  <c:v>44790.560299999997</c:v>
                </c:pt>
                <c:pt idx="8" formatCode="General">
                  <c:v>48500.337</c:v>
                </c:pt>
                <c:pt idx="9" formatCode="General">
                  <c:v>52725.434500000003</c:v>
                </c:pt>
                <c:pt idx="10" formatCode="General">
                  <c:v>52725.613499999999</c:v>
                </c:pt>
                <c:pt idx="11" formatCode="General">
                  <c:v>52726.509700000002</c:v>
                </c:pt>
                <c:pt idx="12" formatCode="General">
                  <c:v>52727.404699999999</c:v>
                </c:pt>
                <c:pt idx="13" formatCode="General">
                  <c:v>52727.404999999999</c:v>
                </c:pt>
                <c:pt idx="14" formatCode="General">
                  <c:v>52727.584699999999</c:v>
                </c:pt>
                <c:pt idx="15" formatCode="General">
                  <c:v>52730.630400000002</c:v>
                </c:pt>
                <c:pt idx="16" formatCode="General">
                  <c:v>53189.010199999997</c:v>
                </c:pt>
                <c:pt idx="17" formatCode="General">
                  <c:v>53438.895199999999</c:v>
                </c:pt>
                <c:pt idx="18" formatCode="General">
                  <c:v>53450.538699999997</c:v>
                </c:pt>
                <c:pt idx="19" formatCode="General">
                  <c:v>53509.829700000002</c:v>
                </c:pt>
                <c:pt idx="20" formatCode="General">
                  <c:v>53511.6204</c:v>
                </c:pt>
                <c:pt idx="21" formatCode="General">
                  <c:v>53511.798499999997</c:v>
                </c:pt>
                <c:pt idx="22" formatCode="General">
                  <c:v>53517.711300000003</c:v>
                </c:pt>
                <c:pt idx="23" formatCode="General">
                  <c:v>54164.364999999998</c:v>
                </c:pt>
                <c:pt idx="24" formatCode="General">
                  <c:v>54233.502</c:v>
                </c:pt>
                <c:pt idx="25" formatCode="General">
                  <c:v>54301.390500000001</c:v>
                </c:pt>
                <c:pt idx="26" formatCode="General">
                  <c:v>54539.633500000004</c:v>
                </c:pt>
                <c:pt idx="27" formatCode="General">
                  <c:v>54644.423999999999</c:v>
                </c:pt>
                <c:pt idx="28" formatCode="General">
                  <c:v>54646.394999999997</c:v>
                </c:pt>
                <c:pt idx="29" formatCode="General">
                  <c:v>54656.426500000001</c:v>
                </c:pt>
                <c:pt idx="30" formatCode="General">
                  <c:v>54667.352200000001</c:v>
                </c:pt>
                <c:pt idx="31" formatCode="General">
                  <c:v>54894.668599999997</c:v>
                </c:pt>
                <c:pt idx="32" formatCode="General">
                  <c:v>54971.514000000003</c:v>
                </c:pt>
                <c:pt idx="33" formatCode="General">
                  <c:v>51314.614999999998</c:v>
                </c:pt>
                <c:pt idx="34" formatCode="General">
                  <c:v>51615.201000000001</c:v>
                </c:pt>
                <c:pt idx="35" formatCode="General">
                  <c:v>52034.711000000003</c:v>
                </c:pt>
                <c:pt idx="36" formatCode="General">
                  <c:v>52475.012000000002</c:v>
                </c:pt>
                <c:pt idx="37" formatCode="General">
                  <c:v>52773.798999999999</c:v>
                </c:pt>
                <c:pt idx="38" formatCode="General">
                  <c:v>53132.762999999999</c:v>
                </c:pt>
                <c:pt idx="39">
                  <c:v>53521.474999999999</c:v>
                </c:pt>
                <c:pt idx="40">
                  <c:v>51338.803819784996</c:v>
                </c:pt>
                <c:pt idx="41">
                  <c:v>28731.308000000001</c:v>
                </c:pt>
                <c:pt idx="42">
                  <c:v>28731.477999999999</c:v>
                </c:pt>
                <c:pt idx="43">
                  <c:v>29046.215</c:v>
                </c:pt>
                <c:pt idx="44">
                  <c:v>29046.404999999999</c:v>
                </c:pt>
                <c:pt idx="45">
                  <c:v>29369.184000000001</c:v>
                </c:pt>
                <c:pt idx="46">
                  <c:v>30493.286</c:v>
                </c:pt>
                <c:pt idx="47">
                  <c:v>30493.473000000002</c:v>
                </c:pt>
                <c:pt idx="48">
                  <c:v>30899.22</c:v>
                </c:pt>
                <c:pt idx="49">
                  <c:v>30899.399000000001</c:v>
                </c:pt>
                <c:pt idx="50">
                  <c:v>31256.240000000002</c:v>
                </c:pt>
                <c:pt idx="51">
                  <c:v>31256.425999999999</c:v>
                </c:pt>
                <c:pt idx="52">
                  <c:v>32337.678</c:v>
                </c:pt>
                <c:pt idx="53">
                  <c:v>48085.46</c:v>
                </c:pt>
                <c:pt idx="54">
                  <c:v>48094.417999999998</c:v>
                </c:pt>
                <c:pt idx="55">
                  <c:v>48122.360999999997</c:v>
                </c:pt>
                <c:pt idx="56" formatCode="General">
                  <c:v>48336.621099999997</c:v>
                </c:pt>
                <c:pt idx="57" formatCode="General">
                  <c:v>51091.429700000001</c:v>
                </c:pt>
                <c:pt idx="58" formatCode="General">
                  <c:v>53189.010199999997</c:v>
                </c:pt>
                <c:pt idx="59" formatCode="General">
                  <c:v>53190.977599999998</c:v>
                </c:pt>
                <c:pt idx="60" formatCode="General">
                  <c:v>53521.474999999999</c:v>
                </c:pt>
                <c:pt idx="61" formatCode="General">
                  <c:v>54667.352200000001</c:v>
                </c:pt>
                <c:pt idx="62" formatCode="General">
                  <c:v>54667.3531</c:v>
                </c:pt>
                <c:pt idx="63" formatCode="General">
                  <c:v>55652.909099999997</c:v>
                </c:pt>
                <c:pt idx="64" formatCode="General">
                  <c:v>56016.900699999998</c:v>
                </c:pt>
                <c:pt idx="65" formatCode="General">
                  <c:v>56067.413800000002</c:v>
                </c:pt>
                <c:pt idx="66" formatCode="General">
                  <c:v>56067.413860000001</c:v>
                </c:pt>
                <c:pt idx="67" formatCode="General">
                  <c:v>56067.414049999999</c:v>
                </c:pt>
                <c:pt idx="68" formatCode="General">
                  <c:v>56067.414640000003</c:v>
                </c:pt>
                <c:pt idx="69" formatCode="General">
                  <c:v>56093.743999999999</c:v>
                </c:pt>
              </c:numCache>
            </c:numRef>
          </c:xVal>
          <c:yVal>
            <c:numRef>
              <c:f>'A (4)'!$I$21:$I$160</c:f>
              <c:numCache>
                <c:formatCode>0.0000</c:formatCode>
                <c:ptCount val="140"/>
                <c:pt idx="53">
                  <c:v>1.3699359995371196E-2</c:v>
                </c:pt>
                <c:pt idx="54">
                  <c:v>1.5251359996909741E-2</c:v>
                </c:pt>
                <c:pt idx="55">
                  <c:v>1.4133599994238466E-2</c:v>
                </c:pt>
                <c:pt idx="56">
                  <c:v>3.5997439998027403E-2</c:v>
                </c:pt>
                <c:pt idx="57">
                  <c:v>2.0321600000897888E-2</c:v>
                </c:pt>
                <c:pt idx="58">
                  <c:v>6.9999999686842784E-4</c:v>
                </c:pt>
                <c:pt idx="59">
                  <c:v>-2.318560000276193E-3</c:v>
                </c:pt>
                <c:pt idx="60">
                  <c:v>2.1502399977180175E-3</c:v>
                </c:pt>
                <c:pt idx="61">
                  <c:v>-8.6068800010252744E-3</c:v>
                </c:pt>
                <c:pt idx="62">
                  <c:v>-7.7068800019333139E-3</c:v>
                </c:pt>
                <c:pt idx="63">
                  <c:v>-1.9244800001615658E-2</c:v>
                </c:pt>
                <c:pt idx="64">
                  <c:v>-1.7691519999061711E-2</c:v>
                </c:pt>
                <c:pt idx="65">
                  <c:v>-1.8958239998028148E-2</c:v>
                </c:pt>
                <c:pt idx="66">
                  <c:v>-1.8898239999543875E-2</c:v>
                </c:pt>
                <c:pt idx="67">
                  <c:v>-1.87082400007057E-2</c:v>
                </c:pt>
                <c:pt idx="68">
                  <c:v>-1.811823999742046E-2</c:v>
                </c:pt>
                <c:pt idx="69">
                  <c:v>-2.0715359998575877E-2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37-415B-A2E3-90CD29779DDF}"/>
            </c:ext>
          </c:extLst>
        </c:ser>
        <c:ser>
          <c:idx val="7"/>
          <c:order val="2"/>
          <c:tx>
            <c:strRef>
              <c:f>'A (4)'!$J$20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(4)'!$C$21:$C$983</c:f>
              <c:numCache>
                <c:formatCode>0.0000</c:formatCode>
                <c:ptCount val="963"/>
                <c:pt idx="0" formatCode="General">
                  <c:v>29645.01</c:v>
                </c:pt>
                <c:pt idx="1">
                  <c:v>44366.7353</c:v>
                </c:pt>
                <c:pt idx="2">
                  <c:v>44408.6512</c:v>
                </c:pt>
                <c:pt idx="3">
                  <c:v>44698.845500000003</c:v>
                </c:pt>
                <c:pt idx="4">
                  <c:v>44787.515200000002</c:v>
                </c:pt>
                <c:pt idx="5">
                  <c:v>44788.59</c:v>
                </c:pt>
                <c:pt idx="6">
                  <c:v>44789.665099999998</c:v>
                </c:pt>
                <c:pt idx="7">
                  <c:v>44790.560299999997</c:v>
                </c:pt>
                <c:pt idx="8" formatCode="General">
                  <c:v>48500.337</c:v>
                </c:pt>
                <c:pt idx="9" formatCode="General">
                  <c:v>52725.434500000003</c:v>
                </c:pt>
                <c:pt idx="10" formatCode="General">
                  <c:v>52725.613499999999</c:v>
                </c:pt>
                <c:pt idx="11" formatCode="General">
                  <c:v>52726.509700000002</c:v>
                </c:pt>
                <c:pt idx="12" formatCode="General">
                  <c:v>52727.404699999999</c:v>
                </c:pt>
                <c:pt idx="13" formatCode="General">
                  <c:v>52727.404999999999</c:v>
                </c:pt>
                <c:pt idx="14" formatCode="General">
                  <c:v>52727.584699999999</c:v>
                </c:pt>
                <c:pt idx="15" formatCode="General">
                  <c:v>52730.630400000002</c:v>
                </c:pt>
                <c:pt idx="16" formatCode="General">
                  <c:v>53189.010199999997</c:v>
                </c:pt>
                <c:pt idx="17" formatCode="General">
                  <c:v>53438.895199999999</c:v>
                </c:pt>
                <c:pt idx="18" formatCode="General">
                  <c:v>53450.538699999997</c:v>
                </c:pt>
                <c:pt idx="19" formatCode="General">
                  <c:v>53509.829700000002</c:v>
                </c:pt>
                <c:pt idx="20" formatCode="General">
                  <c:v>53511.6204</c:v>
                </c:pt>
                <c:pt idx="21" formatCode="General">
                  <c:v>53511.798499999997</c:v>
                </c:pt>
                <c:pt idx="22" formatCode="General">
                  <c:v>53517.711300000003</c:v>
                </c:pt>
                <c:pt idx="23" formatCode="General">
                  <c:v>54164.364999999998</c:v>
                </c:pt>
                <c:pt idx="24" formatCode="General">
                  <c:v>54233.502</c:v>
                </c:pt>
                <c:pt idx="25" formatCode="General">
                  <c:v>54301.390500000001</c:v>
                </c:pt>
                <c:pt idx="26" formatCode="General">
                  <c:v>54539.633500000004</c:v>
                </c:pt>
                <c:pt idx="27" formatCode="General">
                  <c:v>54644.423999999999</c:v>
                </c:pt>
                <c:pt idx="28" formatCode="General">
                  <c:v>54646.394999999997</c:v>
                </c:pt>
                <c:pt idx="29" formatCode="General">
                  <c:v>54656.426500000001</c:v>
                </c:pt>
                <c:pt idx="30" formatCode="General">
                  <c:v>54667.352200000001</c:v>
                </c:pt>
                <c:pt idx="31" formatCode="General">
                  <c:v>54894.668599999997</c:v>
                </c:pt>
                <c:pt idx="32" formatCode="General">
                  <c:v>54971.514000000003</c:v>
                </c:pt>
                <c:pt idx="33" formatCode="General">
                  <c:v>51314.614999999998</c:v>
                </c:pt>
                <c:pt idx="34" formatCode="General">
                  <c:v>51615.201000000001</c:v>
                </c:pt>
                <c:pt idx="35" formatCode="General">
                  <c:v>52034.711000000003</c:v>
                </c:pt>
                <c:pt idx="36" formatCode="General">
                  <c:v>52475.012000000002</c:v>
                </c:pt>
                <c:pt idx="37" formatCode="General">
                  <c:v>52773.798999999999</c:v>
                </c:pt>
                <c:pt idx="38" formatCode="General">
                  <c:v>53132.762999999999</c:v>
                </c:pt>
                <c:pt idx="39">
                  <c:v>53521.474999999999</c:v>
                </c:pt>
                <c:pt idx="40">
                  <c:v>51338.803819784996</c:v>
                </c:pt>
                <c:pt idx="41">
                  <c:v>28731.308000000001</c:v>
                </c:pt>
                <c:pt idx="42">
                  <c:v>28731.477999999999</c:v>
                </c:pt>
                <c:pt idx="43">
                  <c:v>29046.215</c:v>
                </c:pt>
                <c:pt idx="44">
                  <c:v>29046.404999999999</c:v>
                </c:pt>
                <c:pt idx="45">
                  <c:v>29369.184000000001</c:v>
                </c:pt>
                <c:pt idx="46">
                  <c:v>30493.286</c:v>
                </c:pt>
                <c:pt idx="47">
                  <c:v>30493.473000000002</c:v>
                </c:pt>
                <c:pt idx="48">
                  <c:v>30899.22</c:v>
                </c:pt>
                <c:pt idx="49">
                  <c:v>30899.399000000001</c:v>
                </c:pt>
                <c:pt idx="50">
                  <c:v>31256.240000000002</c:v>
                </c:pt>
                <c:pt idx="51">
                  <c:v>31256.425999999999</c:v>
                </c:pt>
                <c:pt idx="52">
                  <c:v>32337.678</c:v>
                </c:pt>
                <c:pt idx="53">
                  <c:v>48085.46</c:v>
                </c:pt>
                <c:pt idx="54">
                  <c:v>48094.417999999998</c:v>
                </c:pt>
                <c:pt idx="55">
                  <c:v>48122.360999999997</c:v>
                </c:pt>
                <c:pt idx="56" formatCode="General">
                  <c:v>48336.621099999997</c:v>
                </c:pt>
                <c:pt idx="57" formatCode="General">
                  <c:v>51091.429700000001</c:v>
                </c:pt>
                <c:pt idx="58" formatCode="General">
                  <c:v>53189.010199999997</c:v>
                </c:pt>
                <c:pt idx="59" formatCode="General">
                  <c:v>53190.977599999998</c:v>
                </c:pt>
                <c:pt idx="60" formatCode="General">
                  <c:v>53521.474999999999</c:v>
                </c:pt>
                <c:pt idx="61" formatCode="General">
                  <c:v>54667.352200000001</c:v>
                </c:pt>
                <c:pt idx="62" formatCode="General">
                  <c:v>54667.3531</c:v>
                </c:pt>
                <c:pt idx="63" formatCode="General">
                  <c:v>55652.909099999997</c:v>
                </c:pt>
                <c:pt idx="64" formatCode="General">
                  <c:v>56016.900699999998</c:v>
                </c:pt>
                <c:pt idx="65" formatCode="General">
                  <c:v>56067.413800000002</c:v>
                </c:pt>
                <c:pt idx="66" formatCode="General">
                  <c:v>56067.413860000001</c:v>
                </c:pt>
                <c:pt idx="67" formatCode="General">
                  <c:v>56067.414049999999</c:v>
                </c:pt>
                <c:pt idx="68" formatCode="General">
                  <c:v>56067.414640000003</c:v>
                </c:pt>
                <c:pt idx="69" formatCode="General">
                  <c:v>56093.743999999999</c:v>
                </c:pt>
              </c:numCache>
            </c:numRef>
          </c:xVal>
          <c:yVal>
            <c:numRef>
              <c:f>'A (4)'!$J$21:$J$983</c:f>
              <c:numCache>
                <c:formatCode>0.0000</c:formatCode>
                <c:ptCount val="963"/>
                <c:pt idx="40">
                  <c:v>1.7347624998365063E-2</c:v>
                </c:pt>
                <c:pt idx="41">
                  <c:v>2.9311520000192104E-2</c:v>
                </c:pt>
                <c:pt idx="42">
                  <c:v>2.018255999792018E-2</c:v>
                </c:pt>
                <c:pt idx="43">
                  <c:v>2.7599839999311371E-2</c:v>
                </c:pt>
                <c:pt idx="44">
                  <c:v>3.8470879997476004E-2</c:v>
                </c:pt>
                <c:pt idx="45">
                  <c:v>2.708496000195737E-2</c:v>
                </c:pt>
                <c:pt idx="46">
                  <c:v>-8.4267999998701271E-2</c:v>
                </c:pt>
                <c:pt idx="47">
                  <c:v>-7.6396959997509839E-2</c:v>
                </c:pt>
                <c:pt idx="48">
                  <c:v>-5.6491359999199631E-2</c:v>
                </c:pt>
                <c:pt idx="49">
                  <c:v>-5.6620319999638014E-2</c:v>
                </c:pt>
                <c:pt idx="50">
                  <c:v>-4.0508639998733997E-2</c:v>
                </c:pt>
                <c:pt idx="51">
                  <c:v>-3.3637600001384271E-2</c:v>
                </c:pt>
                <c:pt idx="52">
                  <c:v>-4.040160001750337E-3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37-415B-A2E3-90CD29779DDF}"/>
            </c:ext>
          </c:extLst>
        </c:ser>
        <c:ser>
          <c:idx val="8"/>
          <c:order val="3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(4)'!$W$2:$W$19</c:f>
              <c:numCache>
                <c:formatCode>0.00E+00</c:formatCode>
                <c:ptCount val="18"/>
                <c:pt idx="0">
                  <c:v>-3.2863710752027542E-2</c:v>
                </c:pt>
                <c:pt idx="1">
                  <c:v>6.9190614308000109E-3</c:v>
                </c:pt>
                <c:pt idx="2">
                  <c:v>4.0959498051438392E-2</c:v>
                </c:pt>
                <c:pt idx="3">
                  <c:v>6.9257599109887491E-2</c:v>
                </c:pt>
                <c:pt idx="4">
                  <c:v>9.1813364606147307E-2</c:v>
                </c:pt>
                <c:pt idx="5">
                  <c:v>0.10862679454021784</c:v>
                </c:pt>
                <c:pt idx="6">
                  <c:v>0.11969788891209915</c:v>
                </c:pt>
                <c:pt idx="7">
                  <c:v>0.1250266477217912</c:v>
                </c:pt>
                <c:pt idx="8">
                  <c:v>0.12461307096929393</c:v>
                </c:pt>
                <c:pt idx="9">
                  <c:v>0.11845715865460744</c:v>
                </c:pt>
                <c:pt idx="10">
                  <c:v>0.10655891077773168</c:v>
                </c:pt>
                <c:pt idx="11">
                  <c:v>8.8918327338666669E-2</c:v>
                </c:pt>
                <c:pt idx="12">
                  <c:v>6.5535408337412393E-2</c:v>
                </c:pt>
                <c:pt idx="13">
                  <c:v>3.6410153773968834E-2</c:v>
                </c:pt>
                <c:pt idx="14">
                  <c:v>1.542563648336029E-3</c:v>
                </c:pt>
                <c:pt idx="15">
                  <c:v>-3.9067362039486048E-2</c:v>
                </c:pt>
                <c:pt idx="16">
                  <c:v>-8.5419623289497371E-2</c:v>
                </c:pt>
                <c:pt idx="17">
                  <c:v>-0.13751422010169798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37-415B-A2E3-90CD29779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10008"/>
        <c:axId val="1"/>
      </c:scatterChart>
      <c:valAx>
        <c:axId val="98510008"/>
        <c:scaling>
          <c:orientation val="minMax"/>
          <c:max val="60000"/>
          <c:min val="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8740457442819648"/>
              <c:y val="0.88704475666031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450368703912011E-2"/>
              <c:y val="0.35880465922151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1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51146106736657"/>
          <c:y val="0.92358945327912445"/>
          <c:w val="0.41412223472065995"/>
          <c:h val="6.6445370799238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/ HIP 76050 - O-C Diagr.</a:t>
            </a:r>
          </a:p>
        </c:rich>
      </c:tx>
      <c:layout>
        <c:manualLayout>
          <c:xMode val="edge"/>
          <c:yMode val="edge"/>
          <c:x val="0.30845825636188157"/>
          <c:y val="1.408443779238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1940366430165"/>
          <c:y val="0.10140859018567092"/>
          <c:w val="0.85903953384045562"/>
          <c:h val="0.732395373563178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Orig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(4)'!$F$21:$F$160</c:f>
              <c:numCache>
                <c:formatCode>General</c:formatCode>
                <c:ptCount val="140"/>
                <c:pt idx="0">
                  <c:v>-69780.5</c:v>
                </c:pt>
                <c:pt idx="1">
                  <c:v>-28688</c:v>
                </c:pt>
                <c:pt idx="2">
                  <c:v>-28571</c:v>
                </c:pt>
                <c:pt idx="3">
                  <c:v>-27761</c:v>
                </c:pt>
                <c:pt idx="4">
                  <c:v>-27513.5</c:v>
                </c:pt>
                <c:pt idx="5">
                  <c:v>-27510.5</c:v>
                </c:pt>
                <c:pt idx="6">
                  <c:v>-27507.5</c:v>
                </c:pt>
                <c:pt idx="7">
                  <c:v>-27505</c:v>
                </c:pt>
                <c:pt idx="8">
                  <c:v>-17150</c:v>
                </c:pt>
                <c:pt idx="9">
                  <c:v>-5356.5</c:v>
                </c:pt>
                <c:pt idx="10">
                  <c:v>-5356</c:v>
                </c:pt>
                <c:pt idx="11">
                  <c:v>-5353.5</c:v>
                </c:pt>
                <c:pt idx="12">
                  <c:v>-5351</c:v>
                </c:pt>
                <c:pt idx="13">
                  <c:v>-5351</c:v>
                </c:pt>
                <c:pt idx="14">
                  <c:v>-5350.5</c:v>
                </c:pt>
                <c:pt idx="15">
                  <c:v>-5342</c:v>
                </c:pt>
                <c:pt idx="16">
                  <c:v>-4062.5</c:v>
                </c:pt>
                <c:pt idx="17">
                  <c:v>-3365</c:v>
                </c:pt>
                <c:pt idx="18">
                  <c:v>-3332.5</c:v>
                </c:pt>
                <c:pt idx="19">
                  <c:v>-3167</c:v>
                </c:pt>
                <c:pt idx="20">
                  <c:v>-3162</c:v>
                </c:pt>
                <c:pt idx="21">
                  <c:v>-3161.5</c:v>
                </c:pt>
                <c:pt idx="22">
                  <c:v>-3145</c:v>
                </c:pt>
                <c:pt idx="23">
                  <c:v>-1340</c:v>
                </c:pt>
                <c:pt idx="24">
                  <c:v>-1147</c:v>
                </c:pt>
                <c:pt idx="25">
                  <c:v>-957.5</c:v>
                </c:pt>
                <c:pt idx="26">
                  <c:v>-292.5</c:v>
                </c:pt>
                <c:pt idx="27">
                  <c:v>0</c:v>
                </c:pt>
                <c:pt idx="28">
                  <c:v>5.5</c:v>
                </c:pt>
                <c:pt idx="29">
                  <c:v>33.5</c:v>
                </c:pt>
                <c:pt idx="30">
                  <c:v>64</c:v>
                </c:pt>
                <c:pt idx="31">
                  <c:v>698.5</c:v>
                </c:pt>
                <c:pt idx="32">
                  <c:v>913</c:v>
                </c:pt>
                <c:pt idx="33">
                  <c:v>-9294.5</c:v>
                </c:pt>
                <c:pt idx="34">
                  <c:v>-8455.5</c:v>
                </c:pt>
                <c:pt idx="35">
                  <c:v>-7284.5</c:v>
                </c:pt>
                <c:pt idx="36">
                  <c:v>-6055.5</c:v>
                </c:pt>
                <c:pt idx="37">
                  <c:v>-5221.5</c:v>
                </c:pt>
                <c:pt idx="38">
                  <c:v>-4219.5</c:v>
                </c:pt>
                <c:pt idx="39">
                  <c:v>-3134.5</c:v>
                </c:pt>
                <c:pt idx="40">
                  <c:v>-9227</c:v>
                </c:pt>
                <c:pt idx="41">
                  <c:v>-72331</c:v>
                </c:pt>
                <c:pt idx="42">
                  <c:v>-72330.5</c:v>
                </c:pt>
                <c:pt idx="43">
                  <c:v>-71452</c:v>
                </c:pt>
                <c:pt idx="44">
                  <c:v>-71451.5</c:v>
                </c:pt>
                <c:pt idx="45">
                  <c:v>-70550.5</c:v>
                </c:pt>
                <c:pt idx="46">
                  <c:v>-67412.5</c:v>
                </c:pt>
                <c:pt idx="47">
                  <c:v>-67412</c:v>
                </c:pt>
                <c:pt idx="48">
                  <c:v>-66279.5</c:v>
                </c:pt>
                <c:pt idx="49">
                  <c:v>-66279</c:v>
                </c:pt>
                <c:pt idx="50">
                  <c:v>-65283</c:v>
                </c:pt>
                <c:pt idx="51">
                  <c:v>-65282.5</c:v>
                </c:pt>
                <c:pt idx="52">
                  <c:v>-62264.5</c:v>
                </c:pt>
                <c:pt idx="53">
                  <c:v>-18308</c:v>
                </c:pt>
                <c:pt idx="54">
                  <c:v>-18283</c:v>
                </c:pt>
                <c:pt idx="55">
                  <c:v>-18205</c:v>
                </c:pt>
                <c:pt idx="56">
                  <c:v>-17607</c:v>
                </c:pt>
                <c:pt idx="57">
                  <c:v>-9917.5</c:v>
                </c:pt>
                <c:pt idx="58">
                  <c:v>-4062.5</c:v>
                </c:pt>
                <c:pt idx="59">
                  <c:v>-4057</c:v>
                </c:pt>
                <c:pt idx="60">
                  <c:v>-3134.5</c:v>
                </c:pt>
                <c:pt idx="61">
                  <c:v>64</c:v>
                </c:pt>
                <c:pt idx="62">
                  <c:v>64</c:v>
                </c:pt>
                <c:pt idx="63">
                  <c:v>2815</c:v>
                </c:pt>
                <c:pt idx="64">
                  <c:v>3831</c:v>
                </c:pt>
                <c:pt idx="65">
                  <c:v>3972</c:v>
                </c:pt>
                <c:pt idx="66">
                  <c:v>3972</c:v>
                </c:pt>
                <c:pt idx="67">
                  <c:v>3972</c:v>
                </c:pt>
                <c:pt idx="68">
                  <c:v>3972</c:v>
                </c:pt>
                <c:pt idx="69">
                  <c:v>4045.5</c:v>
                </c:pt>
              </c:numCache>
            </c:numRef>
          </c:xVal>
          <c:yVal>
            <c:numRef>
              <c:f>'A (4)'!$H$21:$H$160</c:f>
              <c:numCache>
                <c:formatCode>0.0000</c:formatCode>
                <c:ptCount val="140"/>
                <c:pt idx="0">
                  <c:v>-5.5134400026872754E-3</c:v>
                </c:pt>
                <c:pt idx="1">
                  <c:v>6.2089599960017949E-3</c:v>
                </c:pt>
                <c:pt idx="2">
                  <c:v>5.9323200039216317E-3</c:v>
                </c:pt>
                <c:pt idx="3">
                  <c:v>1.1317119999148417E-2</c:v>
                </c:pt>
                <c:pt idx="4">
                  <c:v>1.2181919999420643E-2</c:v>
                </c:pt>
                <c:pt idx="5">
                  <c:v>1.2208159998408519E-2</c:v>
                </c:pt>
                <c:pt idx="6">
                  <c:v>1.2534399997093715E-2</c:v>
                </c:pt>
                <c:pt idx="7">
                  <c:v>1.2089600000763312E-2</c:v>
                </c:pt>
                <c:pt idx="8">
                  <c:v>2.8028000000631437E-2</c:v>
                </c:pt>
                <c:pt idx="9">
                  <c:v>1.0748480002803262E-2</c:v>
                </c:pt>
                <c:pt idx="10">
                  <c:v>1.0619519998726901E-2</c:v>
                </c:pt>
                <c:pt idx="11">
                  <c:v>1.1174719998962246E-2</c:v>
                </c:pt>
                <c:pt idx="12">
                  <c:v>1.052992000040831E-2</c:v>
                </c:pt>
                <c:pt idx="13">
                  <c:v>1.0829920000105631E-2</c:v>
                </c:pt>
                <c:pt idx="14">
                  <c:v>1.1400960000173654E-2</c:v>
                </c:pt>
                <c:pt idx="15">
                  <c:v>1.1908640000910964E-2</c:v>
                </c:pt>
                <c:pt idx="16">
                  <c:v>6.9999999686842784E-4</c:v>
                </c:pt>
                <c:pt idx="17">
                  <c:v>8.0080000043381006E-4</c:v>
                </c:pt>
                <c:pt idx="18">
                  <c:v>9.1839999367948622E-4</c:v>
                </c:pt>
                <c:pt idx="19">
                  <c:v>2.3263999901246279E-4</c:v>
                </c:pt>
                <c:pt idx="20">
                  <c:v>-3.5696000122698024E-4</c:v>
                </c:pt>
                <c:pt idx="21">
                  <c:v>-1.3859200043953024E-3</c:v>
                </c:pt>
                <c:pt idx="22">
                  <c:v>1.5840000560274348E-4</c:v>
                </c:pt>
                <c:pt idx="23">
                  <c:v>-1.6872000051080249E-3</c:v>
                </c:pt>
                <c:pt idx="24">
                  <c:v>-8.4657600018545054E-3</c:v>
                </c:pt>
                <c:pt idx="25">
                  <c:v>-9.8415999964345247E-3</c:v>
                </c:pt>
                <c:pt idx="26">
                  <c:v>-8.3583999949041754E-3</c:v>
                </c:pt>
                <c:pt idx="27">
                  <c:v>-8.3000000013271347E-3</c:v>
                </c:pt>
                <c:pt idx="28">
                  <c:v>-7.7185600021039136E-3</c:v>
                </c:pt>
                <c:pt idx="29">
                  <c:v>-7.440319997840561E-3</c:v>
                </c:pt>
                <c:pt idx="30">
                  <c:v>-8.6068800010252744E-3</c:v>
                </c:pt>
                <c:pt idx="31">
                  <c:v>-6.8571200026781298E-3</c:v>
                </c:pt>
                <c:pt idx="32">
                  <c:v>-7.7809599970350973E-3</c:v>
                </c:pt>
                <c:pt idx="33">
                  <c:v>1.0937439998087939E-2</c:v>
                </c:pt>
                <c:pt idx="34">
                  <c:v>1.8542559999332298E-2</c:v>
                </c:pt>
                <c:pt idx="35">
                  <c:v>8.5182399998302571E-3</c:v>
                </c:pt>
                <c:pt idx="36">
                  <c:v>1.0534560002270155E-2</c:v>
                </c:pt>
                <c:pt idx="37">
                  <c:v>1.0429279995150864E-2</c:v>
                </c:pt>
                <c:pt idx="38">
                  <c:v>-6.5600033849477768E-6</c:v>
                </c:pt>
                <c:pt idx="39">
                  <c:v>2.1502399977180175E-3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0-45A4-B47B-58EB43DEA8F1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(4)'!$D$34:$D$42</c:f>
                <c:numCache>
                  <c:formatCode>General</c:formatCode>
                  <c:ptCount val="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2.0999999999999999E-3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(4)'!$F$21:$F$160</c:f>
              <c:numCache>
                <c:formatCode>General</c:formatCode>
                <c:ptCount val="140"/>
                <c:pt idx="0">
                  <c:v>-69780.5</c:v>
                </c:pt>
                <c:pt idx="1">
                  <c:v>-28688</c:v>
                </c:pt>
                <c:pt idx="2">
                  <c:v>-28571</c:v>
                </c:pt>
                <c:pt idx="3">
                  <c:v>-27761</c:v>
                </c:pt>
                <c:pt idx="4">
                  <c:v>-27513.5</c:v>
                </c:pt>
                <c:pt idx="5">
                  <c:v>-27510.5</c:v>
                </c:pt>
                <c:pt idx="6">
                  <c:v>-27507.5</c:v>
                </c:pt>
                <c:pt idx="7">
                  <c:v>-27505</c:v>
                </c:pt>
                <c:pt idx="8">
                  <c:v>-17150</c:v>
                </c:pt>
                <c:pt idx="9">
                  <c:v>-5356.5</c:v>
                </c:pt>
                <c:pt idx="10">
                  <c:v>-5356</c:v>
                </c:pt>
                <c:pt idx="11">
                  <c:v>-5353.5</c:v>
                </c:pt>
                <c:pt idx="12">
                  <c:v>-5351</c:v>
                </c:pt>
                <c:pt idx="13">
                  <c:v>-5351</c:v>
                </c:pt>
                <c:pt idx="14">
                  <c:v>-5350.5</c:v>
                </c:pt>
                <c:pt idx="15">
                  <c:v>-5342</c:v>
                </c:pt>
                <c:pt idx="16">
                  <c:v>-4062.5</c:v>
                </c:pt>
                <c:pt idx="17">
                  <c:v>-3365</c:v>
                </c:pt>
                <c:pt idx="18">
                  <c:v>-3332.5</c:v>
                </c:pt>
                <c:pt idx="19">
                  <c:v>-3167</c:v>
                </c:pt>
                <c:pt idx="20">
                  <c:v>-3162</c:v>
                </c:pt>
                <c:pt idx="21">
                  <c:v>-3161.5</c:v>
                </c:pt>
                <c:pt idx="22">
                  <c:v>-3145</c:v>
                </c:pt>
                <c:pt idx="23">
                  <c:v>-1340</c:v>
                </c:pt>
                <c:pt idx="24">
                  <c:v>-1147</c:v>
                </c:pt>
                <c:pt idx="25">
                  <c:v>-957.5</c:v>
                </c:pt>
                <c:pt idx="26">
                  <c:v>-292.5</c:v>
                </c:pt>
                <c:pt idx="27">
                  <c:v>0</c:v>
                </c:pt>
                <c:pt idx="28">
                  <c:v>5.5</c:v>
                </c:pt>
                <c:pt idx="29">
                  <c:v>33.5</c:v>
                </c:pt>
                <c:pt idx="30">
                  <c:v>64</c:v>
                </c:pt>
                <c:pt idx="31">
                  <c:v>698.5</c:v>
                </c:pt>
                <c:pt idx="32">
                  <c:v>913</c:v>
                </c:pt>
                <c:pt idx="33">
                  <c:v>-9294.5</c:v>
                </c:pt>
                <c:pt idx="34">
                  <c:v>-8455.5</c:v>
                </c:pt>
                <c:pt idx="35">
                  <c:v>-7284.5</c:v>
                </c:pt>
                <c:pt idx="36">
                  <c:v>-6055.5</c:v>
                </c:pt>
                <c:pt idx="37">
                  <c:v>-5221.5</c:v>
                </c:pt>
                <c:pt idx="38">
                  <c:v>-4219.5</c:v>
                </c:pt>
                <c:pt idx="39">
                  <c:v>-3134.5</c:v>
                </c:pt>
                <c:pt idx="40">
                  <c:v>-9227</c:v>
                </c:pt>
                <c:pt idx="41">
                  <c:v>-72331</c:v>
                </c:pt>
                <c:pt idx="42">
                  <c:v>-72330.5</c:v>
                </c:pt>
                <c:pt idx="43">
                  <c:v>-71452</c:v>
                </c:pt>
                <c:pt idx="44">
                  <c:v>-71451.5</c:v>
                </c:pt>
                <c:pt idx="45">
                  <c:v>-70550.5</c:v>
                </c:pt>
                <c:pt idx="46">
                  <c:v>-67412.5</c:v>
                </c:pt>
                <c:pt idx="47">
                  <c:v>-67412</c:v>
                </c:pt>
                <c:pt idx="48">
                  <c:v>-66279.5</c:v>
                </c:pt>
                <c:pt idx="49">
                  <c:v>-66279</c:v>
                </c:pt>
                <c:pt idx="50">
                  <c:v>-65283</c:v>
                </c:pt>
                <c:pt idx="51">
                  <c:v>-65282.5</c:v>
                </c:pt>
                <c:pt idx="52">
                  <c:v>-62264.5</c:v>
                </c:pt>
                <c:pt idx="53">
                  <c:v>-18308</c:v>
                </c:pt>
                <c:pt idx="54">
                  <c:v>-18283</c:v>
                </c:pt>
                <c:pt idx="55">
                  <c:v>-18205</c:v>
                </c:pt>
                <c:pt idx="56">
                  <c:v>-17607</c:v>
                </c:pt>
                <c:pt idx="57">
                  <c:v>-9917.5</c:v>
                </c:pt>
                <c:pt idx="58">
                  <c:v>-4062.5</c:v>
                </c:pt>
                <c:pt idx="59">
                  <c:v>-4057</c:v>
                </c:pt>
                <c:pt idx="60">
                  <c:v>-3134.5</c:v>
                </c:pt>
                <c:pt idx="61">
                  <c:v>64</c:v>
                </c:pt>
                <c:pt idx="62">
                  <c:v>64</c:v>
                </c:pt>
                <c:pt idx="63">
                  <c:v>2815</c:v>
                </c:pt>
                <c:pt idx="64">
                  <c:v>3831</c:v>
                </c:pt>
                <c:pt idx="65">
                  <c:v>3972</c:v>
                </c:pt>
                <c:pt idx="66">
                  <c:v>3972</c:v>
                </c:pt>
                <c:pt idx="67">
                  <c:v>3972</c:v>
                </c:pt>
                <c:pt idx="68">
                  <c:v>3972</c:v>
                </c:pt>
                <c:pt idx="69">
                  <c:v>4045.5</c:v>
                </c:pt>
              </c:numCache>
            </c:numRef>
          </c:xVal>
          <c:yVal>
            <c:numRef>
              <c:f>'A (4)'!$I$21:$I$160</c:f>
              <c:numCache>
                <c:formatCode>0.0000</c:formatCode>
                <c:ptCount val="140"/>
                <c:pt idx="53">
                  <c:v>1.3699359995371196E-2</c:v>
                </c:pt>
                <c:pt idx="54">
                  <c:v>1.5251359996909741E-2</c:v>
                </c:pt>
                <c:pt idx="55">
                  <c:v>1.4133599994238466E-2</c:v>
                </c:pt>
                <c:pt idx="56">
                  <c:v>3.5997439998027403E-2</c:v>
                </c:pt>
                <c:pt idx="57">
                  <c:v>2.0321600000897888E-2</c:v>
                </c:pt>
                <c:pt idx="58">
                  <c:v>6.9999999686842784E-4</c:v>
                </c:pt>
                <c:pt idx="59">
                  <c:v>-2.318560000276193E-3</c:v>
                </c:pt>
                <c:pt idx="60">
                  <c:v>2.1502399977180175E-3</c:v>
                </c:pt>
                <c:pt idx="61">
                  <c:v>-8.6068800010252744E-3</c:v>
                </c:pt>
                <c:pt idx="62">
                  <c:v>-7.7068800019333139E-3</c:v>
                </c:pt>
                <c:pt idx="63">
                  <c:v>-1.9244800001615658E-2</c:v>
                </c:pt>
                <c:pt idx="64">
                  <c:v>-1.7691519999061711E-2</c:v>
                </c:pt>
                <c:pt idx="65">
                  <c:v>-1.8958239998028148E-2</c:v>
                </c:pt>
                <c:pt idx="66">
                  <c:v>-1.8898239999543875E-2</c:v>
                </c:pt>
                <c:pt idx="67">
                  <c:v>-1.87082400007057E-2</c:v>
                </c:pt>
                <c:pt idx="68">
                  <c:v>-1.811823999742046E-2</c:v>
                </c:pt>
                <c:pt idx="69">
                  <c:v>-2.0715359998575877E-2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0-45A4-B47B-58EB43DEA8F1}"/>
            </c:ext>
          </c:extLst>
        </c:ser>
        <c:ser>
          <c:idx val="7"/>
          <c:order val="2"/>
          <c:tx>
            <c:strRef>
              <c:f>'A (4)'!$J$20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(4)'!$F$21:$F$983</c:f>
              <c:numCache>
                <c:formatCode>General</c:formatCode>
                <c:ptCount val="963"/>
                <c:pt idx="0">
                  <c:v>-69780.5</c:v>
                </c:pt>
                <c:pt idx="1">
                  <c:v>-28688</c:v>
                </c:pt>
                <c:pt idx="2">
                  <c:v>-28571</c:v>
                </c:pt>
                <c:pt idx="3">
                  <c:v>-27761</c:v>
                </c:pt>
                <c:pt idx="4">
                  <c:v>-27513.5</c:v>
                </c:pt>
                <c:pt idx="5">
                  <c:v>-27510.5</c:v>
                </c:pt>
                <c:pt idx="6">
                  <c:v>-27507.5</c:v>
                </c:pt>
                <c:pt idx="7">
                  <c:v>-27505</c:v>
                </c:pt>
                <c:pt idx="8">
                  <c:v>-17150</c:v>
                </c:pt>
                <c:pt idx="9">
                  <c:v>-5356.5</c:v>
                </c:pt>
                <c:pt idx="10">
                  <c:v>-5356</c:v>
                </c:pt>
                <c:pt idx="11">
                  <c:v>-5353.5</c:v>
                </c:pt>
                <c:pt idx="12">
                  <c:v>-5351</c:v>
                </c:pt>
                <c:pt idx="13">
                  <c:v>-5351</c:v>
                </c:pt>
                <c:pt idx="14">
                  <c:v>-5350.5</c:v>
                </c:pt>
                <c:pt idx="15">
                  <c:v>-5342</c:v>
                </c:pt>
                <c:pt idx="16">
                  <c:v>-4062.5</c:v>
                </c:pt>
                <c:pt idx="17">
                  <c:v>-3365</c:v>
                </c:pt>
                <c:pt idx="18">
                  <c:v>-3332.5</c:v>
                </c:pt>
                <c:pt idx="19">
                  <c:v>-3167</c:v>
                </c:pt>
                <c:pt idx="20">
                  <c:v>-3162</c:v>
                </c:pt>
                <c:pt idx="21">
                  <c:v>-3161.5</c:v>
                </c:pt>
                <c:pt idx="22">
                  <c:v>-3145</c:v>
                </c:pt>
                <c:pt idx="23">
                  <c:v>-1340</c:v>
                </c:pt>
                <c:pt idx="24">
                  <c:v>-1147</c:v>
                </c:pt>
                <c:pt idx="25">
                  <c:v>-957.5</c:v>
                </c:pt>
                <c:pt idx="26">
                  <c:v>-292.5</c:v>
                </c:pt>
                <c:pt idx="27">
                  <c:v>0</c:v>
                </c:pt>
                <c:pt idx="28">
                  <c:v>5.5</c:v>
                </c:pt>
                <c:pt idx="29">
                  <c:v>33.5</c:v>
                </c:pt>
                <c:pt idx="30">
                  <c:v>64</c:v>
                </c:pt>
                <c:pt idx="31">
                  <c:v>698.5</c:v>
                </c:pt>
                <c:pt idx="32">
                  <c:v>913</c:v>
                </c:pt>
                <c:pt idx="33">
                  <c:v>-9294.5</c:v>
                </c:pt>
                <c:pt idx="34">
                  <c:v>-8455.5</c:v>
                </c:pt>
                <c:pt idx="35">
                  <c:v>-7284.5</c:v>
                </c:pt>
                <c:pt idx="36">
                  <c:v>-6055.5</c:v>
                </c:pt>
                <c:pt idx="37">
                  <c:v>-5221.5</c:v>
                </c:pt>
                <c:pt idx="38">
                  <c:v>-4219.5</c:v>
                </c:pt>
                <c:pt idx="39">
                  <c:v>-3134.5</c:v>
                </c:pt>
                <c:pt idx="40">
                  <c:v>-9227</c:v>
                </c:pt>
                <c:pt idx="41">
                  <c:v>-72331</c:v>
                </c:pt>
                <c:pt idx="42">
                  <c:v>-72330.5</c:v>
                </c:pt>
                <c:pt idx="43">
                  <c:v>-71452</c:v>
                </c:pt>
                <c:pt idx="44">
                  <c:v>-71451.5</c:v>
                </c:pt>
                <c:pt idx="45">
                  <c:v>-70550.5</c:v>
                </c:pt>
                <c:pt idx="46">
                  <c:v>-67412.5</c:v>
                </c:pt>
                <c:pt idx="47">
                  <c:v>-67412</c:v>
                </c:pt>
                <c:pt idx="48">
                  <c:v>-66279.5</c:v>
                </c:pt>
                <c:pt idx="49">
                  <c:v>-66279</c:v>
                </c:pt>
                <c:pt idx="50">
                  <c:v>-65283</c:v>
                </c:pt>
                <c:pt idx="51">
                  <c:v>-65282.5</c:v>
                </c:pt>
                <c:pt idx="52">
                  <c:v>-62264.5</c:v>
                </c:pt>
                <c:pt idx="53">
                  <c:v>-18308</c:v>
                </c:pt>
                <c:pt idx="54">
                  <c:v>-18283</c:v>
                </c:pt>
                <c:pt idx="55">
                  <c:v>-18205</c:v>
                </c:pt>
                <c:pt idx="56">
                  <c:v>-17607</c:v>
                </c:pt>
                <c:pt idx="57">
                  <c:v>-9917.5</c:v>
                </c:pt>
                <c:pt idx="58">
                  <c:v>-4062.5</c:v>
                </c:pt>
                <c:pt idx="59">
                  <c:v>-4057</c:v>
                </c:pt>
                <c:pt idx="60">
                  <c:v>-3134.5</c:v>
                </c:pt>
                <c:pt idx="61">
                  <c:v>64</c:v>
                </c:pt>
                <c:pt idx="62">
                  <c:v>64</c:v>
                </c:pt>
                <c:pt idx="63">
                  <c:v>2815</c:v>
                </c:pt>
                <c:pt idx="64">
                  <c:v>3831</c:v>
                </c:pt>
                <c:pt idx="65">
                  <c:v>3972</c:v>
                </c:pt>
                <c:pt idx="66">
                  <c:v>3972</c:v>
                </c:pt>
                <c:pt idx="67">
                  <c:v>3972</c:v>
                </c:pt>
                <c:pt idx="68">
                  <c:v>3972</c:v>
                </c:pt>
                <c:pt idx="69">
                  <c:v>4045.5</c:v>
                </c:pt>
              </c:numCache>
            </c:numRef>
          </c:xVal>
          <c:yVal>
            <c:numRef>
              <c:f>'A (4)'!$J$21:$J$983</c:f>
              <c:numCache>
                <c:formatCode>0.0000</c:formatCode>
                <c:ptCount val="963"/>
                <c:pt idx="40">
                  <c:v>1.7347624998365063E-2</c:v>
                </c:pt>
                <c:pt idx="41">
                  <c:v>2.9311520000192104E-2</c:v>
                </c:pt>
                <c:pt idx="42">
                  <c:v>2.018255999792018E-2</c:v>
                </c:pt>
                <c:pt idx="43">
                  <c:v>2.7599839999311371E-2</c:v>
                </c:pt>
                <c:pt idx="44">
                  <c:v>3.8470879997476004E-2</c:v>
                </c:pt>
                <c:pt idx="45">
                  <c:v>2.708496000195737E-2</c:v>
                </c:pt>
                <c:pt idx="46">
                  <c:v>-8.4267999998701271E-2</c:v>
                </c:pt>
                <c:pt idx="47">
                  <c:v>-7.6396959997509839E-2</c:v>
                </c:pt>
                <c:pt idx="48">
                  <c:v>-5.6491359999199631E-2</c:v>
                </c:pt>
                <c:pt idx="49">
                  <c:v>-5.6620319999638014E-2</c:v>
                </c:pt>
                <c:pt idx="50">
                  <c:v>-4.0508639998733997E-2</c:v>
                </c:pt>
                <c:pt idx="51">
                  <c:v>-3.3637600001384271E-2</c:v>
                </c:pt>
                <c:pt idx="52">
                  <c:v>-4.040160001750337E-3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0-45A4-B47B-58EB43DEA8F1}"/>
            </c:ext>
          </c:extLst>
        </c:ser>
        <c:ser>
          <c:idx val="8"/>
          <c:order val="3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(4)'!$W$2:$W$19</c:f>
              <c:numCache>
                <c:formatCode>0.00E+00</c:formatCode>
                <c:ptCount val="18"/>
                <c:pt idx="0">
                  <c:v>-3.2863710752027542E-2</c:v>
                </c:pt>
                <c:pt idx="1">
                  <c:v>6.9190614308000109E-3</c:v>
                </c:pt>
                <c:pt idx="2">
                  <c:v>4.0959498051438392E-2</c:v>
                </c:pt>
                <c:pt idx="3">
                  <c:v>6.9257599109887491E-2</c:v>
                </c:pt>
                <c:pt idx="4">
                  <c:v>9.1813364606147307E-2</c:v>
                </c:pt>
                <c:pt idx="5">
                  <c:v>0.10862679454021784</c:v>
                </c:pt>
                <c:pt idx="6">
                  <c:v>0.11969788891209915</c:v>
                </c:pt>
                <c:pt idx="7">
                  <c:v>0.1250266477217912</c:v>
                </c:pt>
                <c:pt idx="8">
                  <c:v>0.12461307096929393</c:v>
                </c:pt>
                <c:pt idx="9">
                  <c:v>0.11845715865460744</c:v>
                </c:pt>
                <c:pt idx="10">
                  <c:v>0.10655891077773168</c:v>
                </c:pt>
                <c:pt idx="11">
                  <c:v>8.8918327338666669E-2</c:v>
                </c:pt>
                <c:pt idx="12">
                  <c:v>6.5535408337412393E-2</c:v>
                </c:pt>
                <c:pt idx="13">
                  <c:v>3.6410153773968834E-2</c:v>
                </c:pt>
                <c:pt idx="14">
                  <c:v>1.542563648336029E-3</c:v>
                </c:pt>
                <c:pt idx="15">
                  <c:v>-3.9067362039486048E-2</c:v>
                </c:pt>
                <c:pt idx="16">
                  <c:v>-8.5419623289497371E-2</c:v>
                </c:pt>
                <c:pt idx="17">
                  <c:v>-0.13751422010169798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E0-45A4-B47B-58EB43DE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79832"/>
        <c:axId val="1"/>
      </c:scatterChart>
      <c:valAx>
        <c:axId val="984798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8019573676425"/>
              <c:y val="0.88450836207457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503452251496847E-3"/>
              <c:y val="0.383099137401213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7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84302191011481"/>
          <c:y val="0.93521268519121059"/>
          <c:w val="0.35986793664103139"/>
          <c:h val="5.63380403895794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Diagr.</a:t>
            </a:r>
          </a:p>
        </c:rich>
      </c:tx>
      <c:layout>
        <c:manualLayout>
          <c:xMode val="edge"/>
          <c:yMode val="edge"/>
          <c:x val="0.38556132096391171"/>
          <c:y val="1.479289940828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02137490005596E-2"/>
          <c:y val="0.10650887573964497"/>
          <c:w val="0.87096904847267498"/>
          <c:h val="0.71893491124260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(old2)'!$H$21:$H$1001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A-4D5A-AF30-2B0FF3151412}"/>
            </c:ext>
          </c:extLst>
        </c:ser>
        <c:ser>
          <c:idx val="1"/>
          <c:order val="1"/>
          <c:tx>
            <c:strRef>
              <c:f>'A (old2)'!$I$20</c:f>
              <c:strCache>
                <c:ptCount val="1"/>
                <c:pt idx="0">
                  <c:v>Soloviev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(old2)'!$D$43:$D$52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2E-3</c:v>
                  </c:pt>
                  <c:pt idx="6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(old2)'!$I$21:$I$1001</c:f>
              <c:numCache>
                <c:formatCode>0.0000</c:formatCode>
                <c:ptCount val="981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7">
                  <c:v>-0.12980070000048727</c:v>
                </c:pt>
                <c:pt idx="8">
                  <c:v>-0.12193236999883084</c:v>
                </c:pt>
                <c:pt idx="13">
                  <c:v>-7.7475019999837968E-2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A-4D5A-AF30-2B0FF3151412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Zesswewit.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(old2)'!$J$21:$J$1001</c:f>
              <c:numCache>
                <c:formatCode>0.0000</c:formatCode>
                <c:ptCount val="981"/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EA-4D5A-AF30-2B0FF3151412}"/>
            </c:ext>
          </c:extLst>
        </c:ser>
        <c:ser>
          <c:idx val="2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(old2)'!$K$21:$K$1001</c:f>
              <c:numCache>
                <c:formatCode>0.0000</c:formatCode>
                <c:ptCount val="981"/>
                <c:pt idx="14">
                  <c:v>0.10905281000304967</c:v>
                </c:pt>
                <c:pt idx="15">
                  <c:v>0.1081420300033642</c:v>
                </c:pt>
                <c:pt idx="16">
                  <c:v>0.10913663000246743</c:v>
                </c:pt>
                <c:pt idx="17">
                  <c:v>0.10865998000372201</c:v>
                </c:pt>
                <c:pt idx="18">
                  <c:v>0.10866995999822393</c:v>
                </c:pt>
                <c:pt idx="19">
                  <c:v>0.10897993999969913</c:v>
                </c:pt>
                <c:pt idx="20">
                  <c:v>0.10852158999477979</c:v>
                </c:pt>
                <c:pt idx="21">
                  <c:v>0.10852158999477979</c:v>
                </c:pt>
                <c:pt idx="44">
                  <c:v>-3.3664560003671795E-2</c:v>
                </c:pt>
                <c:pt idx="45">
                  <c:v>-3.5247329993580934E-2</c:v>
                </c:pt>
                <c:pt idx="46">
                  <c:v>-3.5864029996446334E-2</c:v>
                </c:pt>
                <c:pt idx="47">
                  <c:v>-3.6895700002787635E-2</c:v>
                </c:pt>
                <c:pt idx="48">
                  <c:v>-3.5440809995634481E-2</c:v>
                </c:pt>
                <c:pt idx="59">
                  <c:v>-6.0698870001942851E-2</c:v>
                </c:pt>
                <c:pt idx="62">
                  <c:v>-8.714721000433201E-2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EA-4D5A-AF30-2B0FF3151412}"/>
            </c:ext>
          </c:extLst>
        </c:ser>
        <c:ser>
          <c:idx val="4"/>
          <c:order val="4"/>
          <c:tx>
            <c:strRef>
              <c:f>'A (old2)'!$L$20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(old2)'!$L$21:$L$1001</c:f>
              <c:numCache>
                <c:formatCode>0.0000</c:formatCode>
                <c:ptCount val="981"/>
                <c:pt idx="22">
                  <c:v>6.0283610000624321E-2</c:v>
                </c:pt>
                <c:pt idx="23">
                  <c:v>6.1700109996309038E-2</c:v>
                </c:pt>
                <c:pt idx="24">
                  <c:v>6.0159590000694152E-2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EA-4D5A-AF30-2B0FF3151412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(old2)'!$M$21:$M$1001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EA-4D5A-AF30-2B0FF3151412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(old2)'!$N$21:$N$1001</c:f>
              <c:numCache>
                <c:formatCode>0.0000</c:formatCode>
                <c:ptCount val="981"/>
                <c:pt idx="5">
                  <c:v>-0.21734325000215904</c:v>
                </c:pt>
                <c:pt idx="6">
                  <c:v>-0.21734325000215904</c:v>
                </c:pt>
                <c:pt idx="25">
                  <c:v>6.8335889998706989E-2</c:v>
                </c:pt>
                <c:pt idx="26">
                  <c:v>8.6685200003557838E-3</c:v>
                </c:pt>
                <c:pt idx="27">
                  <c:v>1.4712854994286317E-2</c:v>
                </c:pt>
                <c:pt idx="28">
                  <c:v>1.1726260003342759E-2</c:v>
                </c:pt>
                <c:pt idx="29">
                  <c:v>0</c:v>
                </c:pt>
                <c:pt idx="30">
                  <c:v>-4.6448799985228106E-3</c:v>
                </c:pt>
                <c:pt idx="31">
                  <c:v>-9.2897399954381399E-3</c:v>
                </c:pt>
                <c:pt idx="32">
                  <c:v>-1.2864399992395192E-2</c:v>
                </c:pt>
                <c:pt idx="33">
                  <c:v>-1.2996069999644533E-2</c:v>
                </c:pt>
                <c:pt idx="34">
                  <c:v>-1.2454419993446209E-2</c:v>
                </c:pt>
                <c:pt idx="35">
                  <c:v>-1.311277000058908E-2</c:v>
                </c:pt>
                <c:pt idx="36">
                  <c:v>-1.281277000089176E-2</c:v>
                </c:pt>
                <c:pt idx="37">
                  <c:v>-1.2244439996720757E-2</c:v>
                </c:pt>
                <c:pt idx="38">
                  <c:v>-1.1782829998992383E-2</c:v>
                </c:pt>
                <c:pt idx="39">
                  <c:v>-1.3915299998188857E-2</c:v>
                </c:pt>
                <c:pt idx="40">
                  <c:v>-2.9781980003463104E-2</c:v>
                </c:pt>
                <c:pt idx="41">
                  <c:v>-2.9926360002718866E-2</c:v>
                </c:pt>
                <c:pt idx="42">
                  <c:v>-3.2974729998386465E-2</c:v>
                </c:pt>
                <c:pt idx="43">
                  <c:v>-3.3606010001676623E-2</c:v>
                </c:pt>
                <c:pt idx="49">
                  <c:v>-3.3505879997392185E-2</c:v>
                </c:pt>
                <c:pt idx="50">
                  <c:v>-4.7069510001165327E-2</c:v>
                </c:pt>
                <c:pt idx="51">
                  <c:v>-5.4894130000320729E-2</c:v>
                </c:pt>
                <c:pt idx="52">
                  <c:v>-5.7297059996926691E-2</c:v>
                </c:pt>
                <c:pt idx="53">
                  <c:v>-5.9418159995402675E-2</c:v>
                </c:pt>
                <c:pt idx="54">
                  <c:v>-6.0945110002649017E-2</c:v>
                </c:pt>
                <c:pt idx="55">
                  <c:v>-6.0393480001948774E-2</c:v>
                </c:pt>
                <c:pt idx="56">
                  <c:v>-6.0267000000749249E-2</c:v>
                </c:pt>
                <c:pt idx="57">
                  <c:v>-6.1598870001034811E-2</c:v>
                </c:pt>
                <c:pt idx="58">
                  <c:v>-6.1598870001034811E-2</c:v>
                </c:pt>
                <c:pt idx="60">
                  <c:v>-6.3288099998317193E-2</c:v>
                </c:pt>
                <c:pt idx="61">
                  <c:v>-6.5374529993277974E-2</c:v>
                </c:pt>
                <c:pt idx="63">
                  <c:v>-9.3131589994300157E-2</c:v>
                </c:pt>
                <c:pt idx="64">
                  <c:v>-9.3071589995815884E-2</c:v>
                </c:pt>
                <c:pt idx="65">
                  <c:v>-9.2881589996977709E-2</c:v>
                </c:pt>
                <c:pt idx="66">
                  <c:v>-9.2291589993692469E-2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EA-4D5A-AF30-2B0FF3151412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(old2)'!$O$21:$O$1001</c:f>
              <c:numCache>
                <c:formatCode>0.0000</c:formatCode>
                <c:ptCount val="981"/>
                <c:pt idx="5">
                  <c:v>0.51559731588434299</c:v>
                </c:pt>
                <c:pt idx="6">
                  <c:v>0.51559731588434299</c:v>
                </c:pt>
                <c:pt idx="14">
                  <c:v>0.17630160922288673</c:v>
                </c:pt>
                <c:pt idx="15">
                  <c:v>0.17533551938133043</c:v>
                </c:pt>
                <c:pt idx="16">
                  <c:v>0.16864720509363287</c:v>
                </c:pt>
                <c:pt idx="17">
                  <c:v>0.16660355350572531</c:v>
                </c:pt>
                <c:pt idx="18">
                  <c:v>0.16657878197132642</c:v>
                </c:pt>
                <c:pt idx="19">
                  <c:v>0.16655401043692755</c:v>
                </c:pt>
                <c:pt idx="20">
                  <c:v>0.16653336749159514</c:v>
                </c:pt>
                <c:pt idx="21">
                  <c:v>0.16653336749159514</c:v>
                </c:pt>
                <c:pt idx="22">
                  <c:v>9.0592100202762704E-2</c:v>
                </c:pt>
                <c:pt idx="23">
                  <c:v>9.0385670749438707E-2</c:v>
                </c:pt>
                <c:pt idx="24">
                  <c:v>8.9741610855067822E-2</c:v>
                </c:pt>
                <c:pt idx="25">
                  <c:v>8.1030287924795108E-2</c:v>
                </c:pt>
                <c:pt idx="26">
                  <c:v>1.6166025101328394E-2</c:v>
                </c:pt>
                <c:pt idx="27">
                  <c:v>1.56086655773536E-2</c:v>
                </c:pt>
                <c:pt idx="28">
                  <c:v>9.2382526477750165E-3</c:v>
                </c:pt>
                <c:pt idx="29">
                  <c:v>-2.2172628339540978E-5</c:v>
                </c:pt>
                <c:pt idx="30">
                  <c:v>-4.3090294592105735E-4</c:v>
                </c:pt>
                <c:pt idx="31">
                  <c:v>-1.0578974871328807E-2</c:v>
                </c:pt>
                <c:pt idx="32">
                  <c:v>-1.6350742386267797E-2</c:v>
                </c:pt>
                <c:pt idx="33">
                  <c:v>-1.6354870975334276E-2</c:v>
                </c:pt>
                <c:pt idx="34">
                  <c:v>-1.6375513920666676E-2</c:v>
                </c:pt>
                <c:pt idx="35">
                  <c:v>-1.6396156865999077E-2</c:v>
                </c:pt>
                <c:pt idx="36">
                  <c:v>-1.6396156865999077E-2</c:v>
                </c:pt>
                <c:pt idx="37">
                  <c:v>-1.6400285455065555E-2</c:v>
                </c:pt>
                <c:pt idx="38">
                  <c:v>-1.6470471469195714E-2</c:v>
                </c:pt>
                <c:pt idx="39">
                  <c:v>-1.7465461434217386E-2</c:v>
                </c:pt>
                <c:pt idx="40">
                  <c:v>-2.5739153923443232E-2</c:v>
                </c:pt>
                <c:pt idx="41">
                  <c:v>-2.7035530890317939E-2</c:v>
                </c:pt>
                <c:pt idx="42">
                  <c:v>-2.7080945370049219E-2</c:v>
                </c:pt>
                <c:pt idx="43">
                  <c:v>-3.2794912638057491E-2</c:v>
                </c:pt>
                <c:pt idx="44">
                  <c:v>-3.3063270927378687E-2</c:v>
                </c:pt>
                <c:pt idx="45">
                  <c:v>-3.4429833908383556E-2</c:v>
                </c:pt>
                <c:pt idx="46">
                  <c:v>-3.4471119799048357E-2</c:v>
                </c:pt>
                <c:pt idx="47">
                  <c:v>-3.4475248388114832E-2</c:v>
                </c:pt>
                <c:pt idx="48">
                  <c:v>-3.4611491827308674E-2</c:v>
                </c:pt>
                <c:pt idx="49">
                  <c:v>-3.4698192197704751E-2</c:v>
                </c:pt>
                <c:pt idx="50">
                  <c:v>-4.9515698357301338E-2</c:v>
                </c:pt>
                <c:pt idx="51">
                  <c:v>-5.1109333736962609E-2</c:v>
                </c:pt>
                <c:pt idx="52">
                  <c:v>-5.2674068993158511E-2</c:v>
                </c:pt>
                <c:pt idx="53">
                  <c:v>-5.8165092451576861E-2</c:v>
                </c:pt>
                <c:pt idx="54">
                  <c:v>-6.0580317055467639E-2</c:v>
                </c:pt>
                <c:pt idx="55">
                  <c:v>-6.0625731535198922E-2</c:v>
                </c:pt>
                <c:pt idx="56">
                  <c:v>-6.0856932522921799E-2</c:v>
                </c:pt>
                <c:pt idx="57">
                  <c:v>-6.1108776455977079E-2</c:v>
                </c:pt>
                <c:pt idx="58">
                  <c:v>-6.1108776455977079E-2</c:v>
                </c:pt>
                <c:pt idx="59">
                  <c:v>-6.1108776455977079E-2</c:v>
                </c:pt>
                <c:pt idx="60">
                  <c:v>-6.6347955981340162E-2</c:v>
                </c:pt>
                <c:pt idx="61">
                  <c:v>-6.8119120690860069E-2</c:v>
                </c:pt>
                <c:pt idx="62">
                  <c:v>-8.382427349974983E-2</c:v>
                </c:pt>
                <c:pt idx="63">
                  <c:v>-9.3377828599584461E-2</c:v>
                </c:pt>
                <c:pt idx="64">
                  <c:v>-9.3377828599584461E-2</c:v>
                </c:pt>
                <c:pt idx="65">
                  <c:v>-9.3377828599584461E-2</c:v>
                </c:pt>
                <c:pt idx="66">
                  <c:v>-9.3377828599584461E-2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EA-4D5A-AF30-2B0FF3151412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(old2)'!$W$2:$W$19</c:f>
              <c:numCache>
                <c:formatCode>0.00E+00</c:formatCode>
                <c:ptCount val="18"/>
                <c:pt idx="0">
                  <c:v>-0.26815895972259141</c:v>
                </c:pt>
                <c:pt idx="1">
                  <c:v>-0.19189865848060539</c:v>
                </c:pt>
                <c:pt idx="2">
                  <c:v>-0.1243316579005852</c:v>
                </c:pt>
                <c:pt idx="3">
                  <c:v>-6.545795798253079E-2</c:v>
                </c:pt>
                <c:pt idx="4">
                  <c:v>-1.527755872644232E-2</c:v>
                </c:pt>
                <c:pt idx="5">
                  <c:v>2.6209539867680209E-2</c:v>
                </c:pt>
                <c:pt idx="6">
                  <c:v>5.9003337799836963E-2</c:v>
                </c:pt>
                <c:pt idx="7">
                  <c:v>8.3103835070027859E-2</c:v>
                </c:pt>
                <c:pt idx="8">
                  <c:v>9.8511031678252814E-2</c:v>
                </c:pt>
                <c:pt idx="9">
                  <c:v>0.10522492762451201</c:v>
                </c:pt>
                <c:pt idx="10">
                  <c:v>0.10324552290880525</c:v>
                </c:pt>
                <c:pt idx="11">
                  <c:v>9.2572817531132626E-2</c:v>
                </c:pt>
                <c:pt idx="12">
                  <c:v>7.3206811491494134E-2</c:v>
                </c:pt>
                <c:pt idx="13">
                  <c:v>4.514750478988979E-2</c:v>
                </c:pt>
                <c:pt idx="14">
                  <c:v>8.3948974263195648E-3</c:v>
                </c:pt>
                <c:pt idx="15">
                  <c:v>-3.7051010599216526E-2</c:v>
                </c:pt>
                <c:pt idx="16">
                  <c:v>-9.1190219286718499E-2</c:v>
                </c:pt>
                <c:pt idx="17">
                  <c:v>-0.15402272863618632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EA-4D5A-AF30-2B0FF315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6464"/>
        <c:axId val="1"/>
      </c:scatterChart>
      <c:valAx>
        <c:axId val="9976646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8544536771617"/>
              <c:y val="0.8816568047337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804915514592934E-3"/>
              <c:y val="0.3757396449704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6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052388612713731E-2"/>
          <c:y val="0.93195266272189348"/>
          <c:w val="0.9278048308477568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/ HIP 76050 - O-C Diagr.</a:t>
            </a:r>
          </a:p>
        </c:rich>
      </c:tx>
      <c:layout>
        <c:manualLayout>
          <c:xMode val="edge"/>
          <c:yMode val="edge"/>
          <c:x val="0.31924931918721428"/>
          <c:y val="1.4044943820224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1804733049591E-2"/>
          <c:y val="0.10112359550561797"/>
          <c:w val="0.86854592830889377"/>
          <c:h val="0.7331460674157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(old2)'!$H$21:$H$1001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59-4140-8E65-14BAFBB826B4}"/>
            </c:ext>
          </c:extLst>
        </c:ser>
        <c:ser>
          <c:idx val="1"/>
          <c:order val="1"/>
          <c:tx>
            <c:strRef>
              <c:f>'A (old2)'!$I$20</c:f>
              <c:strCache>
                <c:ptCount val="1"/>
                <c:pt idx="0">
                  <c:v>Soloviev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(old2)'!$D$43:$D$52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2E-3</c:v>
                  </c:pt>
                  <c:pt idx="6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(old2)'!$I$21:$I$1001</c:f>
              <c:numCache>
                <c:formatCode>0.0000</c:formatCode>
                <c:ptCount val="981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7">
                  <c:v>-0.12980070000048727</c:v>
                </c:pt>
                <c:pt idx="8">
                  <c:v>-0.12193236999883084</c:v>
                </c:pt>
                <c:pt idx="13">
                  <c:v>-7.7475019999837968E-2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59-4140-8E65-14BAFBB826B4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Zesswewit.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(old2)'!$J$21:$J$1001</c:f>
              <c:numCache>
                <c:formatCode>0.0000</c:formatCode>
                <c:ptCount val="981"/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59-4140-8E65-14BAFBB826B4}"/>
            </c:ext>
          </c:extLst>
        </c:ser>
        <c:ser>
          <c:idx val="2"/>
          <c:order val="3"/>
          <c:tx>
            <c:strRef>
              <c:f>'A (old2)'!$K$20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(old2)'!$K$21:$K$1001</c:f>
              <c:numCache>
                <c:formatCode>0.0000</c:formatCode>
                <c:ptCount val="981"/>
                <c:pt idx="14">
                  <c:v>0.10905281000304967</c:v>
                </c:pt>
                <c:pt idx="15">
                  <c:v>0.1081420300033642</c:v>
                </c:pt>
                <c:pt idx="16">
                  <c:v>0.10913663000246743</c:v>
                </c:pt>
                <c:pt idx="17">
                  <c:v>0.10865998000372201</c:v>
                </c:pt>
                <c:pt idx="18">
                  <c:v>0.10866995999822393</c:v>
                </c:pt>
                <c:pt idx="19">
                  <c:v>0.10897993999969913</c:v>
                </c:pt>
                <c:pt idx="20">
                  <c:v>0.10852158999477979</c:v>
                </c:pt>
                <c:pt idx="21">
                  <c:v>0.10852158999477979</c:v>
                </c:pt>
                <c:pt idx="44">
                  <c:v>-3.3664560003671795E-2</c:v>
                </c:pt>
                <c:pt idx="45">
                  <c:v>-3.5247329993580934E-2</c:v>
                </c:pt>
                <c:pt idx="46">
                  <c:v>-3.5864029996446334E-2</c:v>
                </c:pt>
                <c:pt idx="47">
                  <c:v>-3.6895700002787635E-2</c:v>
                </c:pt>
                <c:pt idx="48">
                  <c:v>-3.5440809995634481E-2</c:v>
                </c:pt>
                <c:pt idx="59">
                  <c:v>-6.0698870001942851E-2</c:v>
                </c:pt>
                <c:pt idx="62">
                  <c:v>-8.714721000433201E-2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59-4140-8E65-14BAFBB826B4}"/>
            </c:ext>
          </c:extLst>
        </c:ser>
        <c:ser>
          <c:idx val="4"/>
          <c:order val="4"/>
          <c:tx>
            <c:strRef>
              <c:f>'A (old2)'!$L$20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(old2)'!$L$21:$L$1001</c:f>
              <c:numCache>
                <c:formatCode>0.0000</c:formatCode>
                <c:ptCount val="981"/>
                <c:pt idx="22">
                  <c:v>6.0283610000624321E-2</c:v>
                </c:pt>
                <c:pt idx="23">
                  <c:v>6.1700109996309038E-2</c:v>
                </c:pt>
                <c:pt idx="24">
                  <c:v>6.0159590000694152E-2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59-4140-8E65-14BAFBB826B4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(old2)'!$M$21:$M$1001</c:f>
              <c:numCache>
                <c:formatCode>0.0000</c:formatCode>
                <c:ptCount val="9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59-4140-8E65-14BAFBB826B4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(old2)'!$N$21:$N$1001</c:f>
              <c:numCache>
                <c:formatCode>0.0000</c:formatCode>
                <c:ptCount val="981"/>
                <c:pt idx="5">
                  <c:v>-0.21734325000215904</c:v>
                </c:pt>
                <c:pt idx="6">
                  <c:v>-0.21734325000215904</c:v>
                </c:pt>
                <c:pt idx="25">
                  <c:v>6.8335889998706989E-2</c:v>
                </c:pt>
                <c:pt idx="26">
                  <c:v>8.6685200003557838E-3</c:v>
                </c:pt>
                <c:pt idx="27">
                  <c:v>1.4712854994286317E-2</c:v>
                </c:pt>
                <c:pt idx="28">
                  <c:v>1.1726260003342759E-2</c:v>
                </c:pt>
                <c:pt idx="29">
                  <c:v>0</c:v>
                </c:pt>
                <c:pt idx="30">
                  <c:v>-4.6448799985228106E-3</c:v>
                </c:pt>
                <c:pt idx="31">
                  <c:v>-9.2897399954381399E-3</c:v>
                </c:pt>
                <c:pt idx="32">
                  <c:v>-1.2864399992395192E-2</c:v>
                </c:pt>
                <c:pt idx="33">
                  <c:v>-1.2996069999644533E-2</c:v>
                </c:pt>
                <c:pt idx="34">
                  <c:v>-1.2454419993446209E-2</c:v>
                </c:pt>
                <c:pt idx="35">
                  <c:v>-1.311277000058908E-2</c:v>
                </c:pt>
                <c:pt idx="36">
                  <c:v>-1.281277000089176E-2</c:v>
                </c:pt>
                <c:pt idx="37">
                  <c:v>-1.2244439996720757E-2</c:v>
                </c:pt>
                <c:pt idx="38">
                  <c:v>-1.1782829998992383E-2</c:v>
                </c:pt>
                <c:pt idx="39">
                  <c:v>-1.3915299998188857E-2</c:v>
                </c:pt>
                <c:pt idx="40">
                  <c:v>-2.9781980003463104E-2</c:v>
                </c:pt>
                <c:pt idx="41">
                  <c:v>-2.9926360002718866E-2</c:v>
                </c:pt>
                <c:pt idx="42">
                  <c:v>-3.2974729998386465E-2</c:v>
                </c:pt>
                <c:pt idx="43">
                  <c:v>-3.3606010001676623E-2</c:v>
                </c:pt>
                <c:pt idx="49">
                  <c:v>-3.3505879997392185E-2</c:v>
                </c:pt>
                <c:pt idx="50">
                  <c:v>-4.7069510001165327E-2</c:v>
                </c:pt>
                <c:pt idx="51">
                  <c:v>-5.4894130000320729E-2</c:v>
                </c:pt>
                <c:pt idx="52">
                  <c:v>-5.7297059996926691E-2</c:v>
                </c:pt>
                <c:pt idx="53">
                  <c:v>-5.9418159995402675E-2</c:v>
                </c:pt>
                <c:pt idx="54">
                  <c:v>-6.0945110002649017E-2</c:v>
                </c:pt>
                <c:pt idx="55">
                  <c:v>-6.0393480001948774E-2</c:v>
                </c:pt>
                <c:pt idx="56">
                  <c:v>-6.0267000000749249E-2</c:v>
                </c:pt>
                <c:pt idx="57">
                  <c:v>-6.1598870001034811E-2</c:v>
                </c:pt>
                <c:pt idx="58">
                  <c:v>-6.1598870001034811E-2</c:v>
                </c:pt>
                <c:pt idx="60">
                  <c:v>-6.3288099998317193E-2</c:v>
                </c:pt>
                <c:pt idx="61">
                  <c:v>-6.5374529993277974E-2</c:v>
                </c:pt>
                <c:pt idx="63">
                  <c:v>-9.3131589994300157E-2</c:v>
                </c:pt>
                <c:pt idx="64">
                  <c:v>-9.3071589995815884E-2</c:v>
                </c:pt>
                <c:pt idx="65">
                  <c:v>-9.2881589996977709E-2</c:v>
                </c:pt>
                <c:pt idx="66">
                  <c:v>-9.2291589993692469E-2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59-4140-8E65-14BAFBB826B4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(old2)'!$O$21:$O$1001</c:f>
              <c:numCache>
                <c:formatCode>0.0000</c:formatCode>
                <c:ptCount val="981"/>
                <c:pt idx="5">
                  <c:v>0.51559731588434299</c:v>
                </c:pt>
                <c:pt idx="6">
                  <c:v>0.51559731588434299</c:v>
                </c:pt>
                <c:pt idx="14">
                  <c:v>0.17630160922288673</c:v>
                </c:pt>
                <c:pt idx="15">
                  <c:v>0.17533551938133043</c:v>
                </c:pt>
                <c:pt idx="16">
                  <c:v>0.16864720509363287</c:v>
                </c:pt>
                <c:pt idx="17">
                  <c:v>0.16660355350572531</c:v>
                </c:pt>
                <c:pt idx="18">
                  <c:v>0.16657878197132642</c:v>
                </c:pt>
                <c:pt idx="19">
                  <c:v>0.16655401043692755</c:v>
                </c:pt>
                <c:pt idx="20">
                  <c:v>0.16653336749159514</c:v>
                </c:pt>
                <c:pt idx="21">
                  <c:v>0.16653336749159514</c:v>
                </c:pt>
                <c:pt idx="22">
                  <c:v>9.0592100202762704E-2</c:v>
                </c:pt>
                <c:pt idx="23">
                  <c:v>9.0385670749438707E-2</c:v>
                </c:pt>
                <c:pt idx="24">
                  <c:v>8.9741610855067822E-2</c:v>
                </c:pt>
                <c:pt idx="25">
                  <c:v>8.1030287924795108E-2</c:v>
                </c:pt>
                <c:pt idx="26">
                  <c:v>1.6166025101328394E-2</c:v>
                </c:pt>
                <c:pt idx="27">
                  <c:v>1.56086655773536E-2</c:v>
                </c:pt>
                <c:pt idx="28">
                  <c:v>9.2382526477750165E-3</c:v>
                </c:pt>
                <c:pt idx="29">
                  <c:v>-2.2172628339540978E-5</c:v>
                </c:pt>
                <c:pt idx="30">
                  <c:v>-4.3090294592105735E-4</c:v>
                </c:pt>
                <c:pt idx="31">
                  <c:v>-1.0578974871328807E-2</c:v>
                </c:pt>
                <c:pt idx="32">
                  <c:v>-1.6350742386267797E-2</c:v>
                </c:pt>
                <c:pt idx="33">
                  <c:v>-1.6354870975334276E-2</c:v>
                </c:pt>
                <c:pt idx="34">
                  <c:v>-1.6375513920666676E-2</c:v>
                </c:pt>
                <c:pt idx="35">
                  <c:v>-1.6396156865999077E-2</c:v>
                </c:pt>
                <c:pt idx="36">
                  <c:v>-1.6396156865999077E-2</c:v>
                </c:pt>
                <c:pt idx="37">
                  <c:v>-1.6400285455065555E-2</c:v>
                </c:pt>
                <c:pt idx="38">
                  <c:v>-1.6470471469195714E-2</c:v>
                </c:pt>
                <c:pt idx="39">
                  <c:v>-1.7465461434217386E-2</c:v>
                </c:pt>
                <c:pt idx="40">
                  <c:v>-2.5739153923443232E-2</c:v>
                </c:pt>
                <c:pt idx="41">
                  <c:v>-2.7035530890317939E-2</c:v>
                </c:pt>
                <c:pt idx="42">
                  <c:v>-2.7080945370049219E-2</c:v>
                </c:pt>
                <c:pt idx="43">
                  <c:v>-3.2794912638057491E-2</c:v>
                </c:pt>
                <c:pt idx="44">
                  <c:v>-3.3063270927378687E-2</c:v>
                </c:pt>
                <c:pt idx="45">
                  <c:v>-3.4429833908383556E-2</c:v>
                </c:pt>
                <c:pt idx="46">
                  <c:v>-3.4471119799048357E-2</c:v>
                </c:pt>
                <c:pt idx="47">
                  <c:v>-3.4475248388114832E-2</c:v>
                </c:pt>
                <c:pt idx="48">
                  <c:v>-3.4611491827308674E-2</c:v>
                </c:pt>
                <c:pt idx="49">
                  <c:v>-3.4698192197704751E-2</c:v>
                </c:pt>
                <c:pt idx="50">
                  <c:v>-4.9515698357301338E-2</c:v>
                </c:pt>
                <c:pt idx="51">
                  <c:v>-5.1109333736962609E-2</c:v>
                </c:pt>
                <c:pt idx="52">
                  <c:v>-5.2674068993158511E-2</c:v>
                </c:pt>
                <c:pt idx="53">
                  <c:v>-5.8165092451576861E-2</c:v>
                </c:pt>
                <c:pt idx="54">
                  <c:v>-6.0580317055467639E-2</c:v>
                </c:pt>
                <c:pt idx="55">
                  <c:v>-6.0625731535198922E-2</c:v>
                </c:pt>
                <c:pt idx="56">
                  <c:v>-6.0856932522921799E-2</c:v>
                </c:pt>
                <c:pt idx="57">
                  <c:v>-6.1108776455977079E-2</c:v>
                </c:pt>
                <c:pt idx="58">
                  <c:v>-6.1108776455977079E-2</c:v>
                </c:pt>
                <c:pt idx="59">
                  <c:v>-6.1108776455977079E-2</c:v>
                </c:pt>
                <c:pt idx="60">
                  <c:v>-6.6347955981340162E-2</c:v>
                </c:pt>
                <c:pt idx="61">
                  <c:v>-6.8119120690860069E-2</c:v>
                </c:pt>
                <c:pt idx="62">
                  <c:v>-8.382427349974983E-2</c:v>
                </c:pt>
                <c:pt idx="63">
                  <c:v>-9.3377828599584461E-2</c:v>
                </c:pt>
                <c:pt idx="64">
                  <c:v>-9.3377828599584461E-2</c:v>
                </c:pt>
                <c:pt idx="65">
                  <c:v>-9.3377828599584461E-2</c:v>
                </c:pt>
                <c:pt idx="66">
                  <c:v>-9.3377828599584461E-2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59-4140-8E65-14BAFBB826B4}"/>
            </c:ext>
          </c:extLst>
        </c:ser>
        <c:ser>
          <c:idx val="8"/>
          <c:order val="8"/>
          <c:tx>
            <c:strRef>
              <c:f>'A (old2)'!$W$1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(old2)'!$W$2:$W$19</c:f>
              <c:numCache>
                <c:formatCode>0.00E+00</c:formatCode>
                <c:ptCount val="18"/>
                <c:pt idx="0">
                  <c:v>-0.26815895972259141</c:v>
                </c:pt>
                <c:pt idx="1">
                  <c:v>-0.19189865848060539</c:v>
                </c:pt>
                <c:pt idx="2">
                  <c:v>-0.1243316579005852</c:v>
                </c:pt>
                <c:pt idx="3">
                  <c:v>-6.545795798253079E-2</c:v>
                </c:pt>
                <c:pt idx="4">
                  <c:v>-1.527755872644232E-2</c:v>
                </c:pt>
                <c:pt idx="5">
                  <c:v>2.6209539867680209E-2</c:v>
                </c:pt>
                <c:pt idx="6">
                  <c:v>5.9003337799836963E-2</c:v>
                </c:pt>
                <c:pt idx="7">
                  <c:v>8.3103835070027859E-2</c:v>
                </c:pt>
                <c:pt idx="8">
                  <c:v>9.8511031678252814E-2</c:v>
                </c:pt>
                <c:pt idx="9">
                  <c:v>0.10522492762451201</c:v>
                </c:pt>
                <c:pt idx="10">
                  <c:v>0.10324552290880525</c:v>
                </c:pt>
                <c:pt idx="11">
                  <c:v>9.2572817531132626E-2</c:v>
                </c:pt>
                <c:pt idx="12">
                  <c:v>7.3206811491494134E-2</c:v>
                </c:pt>
                <c:pt idx="13">
                  <c:v>4.514750478988979E-2</c:v>
                </c:pt>
                <c:pt idx="14">
                  <c:v>8.3948974263195648E-3</c:v>
                </c:pt>
                <c:pt idx="15">
                  <c:v>-3.7051010599216526E-2</c:v>
                </c:pt>
                <c:pt idx="16">
                  <c:v>-9.1190219286718499E-2</c:v>
                </c:pt>
                <c:pt idx="17">
                  <c:v>-0.15402272863618632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59-4140-8E65-14BAFBB82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8432"/>
        <c:axId val="1"/>
      </c:scatterChart>
      <c:valAx>
        <c:axId val="997684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7296546851831"/>
              <c:y val="0.8848314606741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8202247191011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8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513302034428794E-2"/>
          <c:y val="0.9353932584269663"/>
          <c:w val="0.94522839574630635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 VZ Lib -- [52016.9816, 0.35826334]</a:t>
            </a:r>
          </a:p>
        </c:rich>
      </c:tx>
      <c:layout>
        <c:manualLayout>
          <c:xMode val="edge"/>
          <c:yMode val="edge"/>
          <c:x val="0.1732776617954071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4590747330960854"/>
          <c:w val="0.85177453027139871"/>
          <c:h val="0.72953736654804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(old2)'!$F$21:$F$1001</c:f>
              <c:numCache>
                <c:formatCode>General</c:formatCode>
                <c:ptCount val="981"/>
                <c:pt idx="0">
                  <c:v>-64995.5</c:v>
                </c:pt>
                <c:pt idx="1">
                  <c:v>-64995</c:v>
                </c:pt>
                <c:pt idx="2">
                  <c:v>-64116.5</c:v>
                </c:pt>
                <c:pt idx="3">
                  <c:v>-64116</c:v>
                </c:pt>
                <c:pt idx="4">
                  <c:v>-63215</c:v>
                </c:pt>
                <c:pt idx="5">
                  <c:v>-62445</c:v>
                </c:pt>
                <c:pt idx="6">
                  <c:v>-62445</c:v>
                </c:pt>
                <c:pt idx="7">
                  <c:v>-60077.5</c:v>
                </c:pt>
                <c:pt idx="8">
                  <c:v>-60077</c:v>
                </c:pt>
                <c:pt idx="9">
                  <c:v>-58944.5</c:v>
                </c:pt>
                <c:pt idx="10">
                  <c:v>-58944</c:v>
                </c:pt>
                <c:pt idx="11">
                  <c:v>-57948</c:v>
                </c:pt>
                <c:pt idx="12">
                  <c:v>-57947.5</c:v>
                </c:pt>
                <c:pt idx="13">
                  <c:v>-54929.5</c:v>
                </c:pt>
                <c:pt idx="14">
                  <c:v>-21354</c:v>
                </c:pt>
                <c:pt idx="15">
                  <c:v>-21237</c:v>
                </c:pt>
                <c:pt idx="16">
                  <c:v>-20427</c:v>
                </c:pt>
                <c:pt idx="17">
                  <c:v>-20179.5</c:v>
                </c:pt>
                <c:pt idx="18">
                  <c:v>-20176.5</c:v>
                </c:pt>
                <c:pt idx="19">
                  <c:v>-20173.5</c:v>
                </c:pt>
                <c:pt idx="20">
                  <c:v>-20171</c:v>
                </c:pt>
                <c:pt idx="21">
                  <c:v>-20171</c:v>
                </c:pt>
                <c:pt idx="22">
                  <c:v>-10974</c:v>
                </c:pt>
                <c:pt idx="23">
                  <c:v>-10949</c:v>
                </c:pt>
                <c:pt idx="24">
                  <c:v>-10871</c:v>
                </c:pt>
                <c:pt idx="25">
                  <c:v>-9816</c:v>
                </c:pt>
                <c:pt idx="26">
                  <c:v>-1960.5</c:v>
                </c:pt>
                <c:pt idx="27">
                  <c:v>-1893</c:v>
                </c:pt>
                <c:pt idx="28">
                  <c:v>-1121.5</c:v>
                </c:pt>
                <c:pt idx="29">
                  <c:v>0</c:v>
                </c:pt>
                <c:pt idx="30">
                  <c:v>49.5</c:v>
                </c:pt>
                <c:pt idx="31">
                  <c:v>1278.5</c:v>
                </c:pt>
                <c:pt idx="32">
                  <c:v>1977.5</c:v>
                </c:pt>
                <c:pt idx="33">
                  <c:v>1978</c:v>
                </c:pt>
                <c:pt idx="34">
                  <c:v>1980.5</c:v>
                </c:pt>
                <c:pt idx="35">
                  <c:v>1983</c:v>
                </c:pt>
                <c:pt idx="36">
                  <c:v>1983</c:v>
                </c:pt>
                <c:pt idx="37">
                  <c:v>1983.5</c:v>
                </c:pt>
                <c:pt idx="38">
                  <c:v>1992</c:v>
                </c:pt>
                <c:pt idx="39">
                  <c:v>2112.5</c:v>
                </c:pt>
                <c:pt idx="40">
                  <c:v>3114.5</c:v>
                </c:pt>
                <c:pt idx="41">
                  <c:v>3271.5</c:v>
                </c:pt>
                <c:pt idx="42">
                  <c:v>3277</c:v>
                </c:pt>
                <c:pt idx="43">
                  <c:v>3969</c:v>
                </c:pt>
                <c:pt idx="44">
                  <c:v>4001.5</c:v>
                </c:pt>
                <c:pt idx="45">
                  <c:v>4167</c:v>
                </c:pt>
                <c:pt idx="46">
                  <c:v>4172</c:v>
                </c:pt>
                <c:pt idx="47">
                  <c:v>4172.5</c:v>
                </c:pt>
                <c:pt idx="48">
                  <c:v>4189</c:v>
                </c:pt>
                <c:pt idx="49">
                  <c:v>4199.5</c:v>
                </c:pt>
                <c:pt idx="50">
                  <c:v>5994</c:v>
                </c:pt>
                <c:pt idx="51">
                  <c:v>6187</c:v>
                </c:pt>
                <c:pt idx="52">
                  <c:v>6376.5</c:v>
                </c:pt>
                <c:pt idx="53">
                  <c:v>7041.5</c:v>
                </c:pt>
                <c:pt idx="54">
                  <c:v>7334</c:v>
                </c:pt>
                <c:pt idx="55">
                  <c:v>7339.5</c:v>
                </c:pt>
                <c:pt idx="56">
                  <c:v>7367.5</c:v>
                </c:pt>
                <c:pt idx="57">
                  <c:v>7398</c:v>
                </c:pt>
                <c:pt idx="58">
                  <c:v>7398</c:v>
                </c:pt>
                <c:pt idx="59">
                  <c:v>7398</c:v>
                </c:pt>
                <c:pt idx="60">
                  <c:v>8032.5</c:v>
                </c:pt>
                <c:pt idx="61">
                  <c:v>8247</c:v>
                </c:pt>
                <c:pt idx="62">
                  <c:v>10149</c:v>
                </c:pt>
                <c:pt idx="63">
                  <c:v>11306</c:v>
                </c:pt>
                <c:pt idx="64">
                  <c:v>11306</c:v>
                </c:pt>
                <c:pt idx="65">
                  <c:v>11306</c:v>
                </c:pt>
                <c:pt idx="66">
                  <c:v>11306</c:v>
                </c:pt>
              </c:numCache>
            </c:numRef>
          </c:xVal>
          <c:yVal>
            <c:numRef>
              <c:f>'A (old2)'!$G$21:$G$1001</c:f>
              <c:numCache>
                <c:formatCode>0.0000</c:formatCode>
                <c:ptCount val="981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5">
                  <c:v>-0.21734325000215904</c:v>
                </c:pt>
                <c:pt idx="6">
                  <c:v>-0.21734325000215904</c:v>
                </c:pt>
                <c:pt idx="7">
                  <c:v>-0.12980070000048727</c:v>
                </c:pt>
                <c:pt idx="8">
                  <c:v>-0.12193236999883084</c:v>
                </c:pt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  <c:pt idx="13">
                  <c:v>-7.7475019999837968E-2</c:v>
                </c:pt>
                <c:pt idx="14">
                  <c:v>0.10905281000304967</c:v>
                </c:pt>
                <c:pt idx="15">
                  <c:v>0.1081420300033642</c:v>
                </c:pt>
                <c:pt idx="16">
                  <c:v>0.10913663000246743</c:v>
                </c:pt>
                <c:pt idx="17">
                  <c:v>0.10865998000372201</c:v>
                </c:pt>
                <c:pt idx="18">
                  <c:v>0.10866995999822393</c:v>
                </c:pt>
                <c:pt idx="19">
                  <c:v>0.10897993999969913</c:v>
                </c:pt>
                <c:pt idx="20">
                  <c:v>0.10852158999477979</c:v>
                </c:pt>
                <c:pt idx="21">
                  <c:v>0.10852158999477979</c:v>
                </c:pt>
                <c:pt idx="22">
                  <c:v>6.0283610000624321E-2</c:v>
                </c:pt>
                <c:pt idx="23">
                  <c:v>6.1700109996309038E-2</c:v>
                </c:pt>
                <c:pt idx="24">
                  <c:v>6.0159590000694152E-2</c:v>
                </c:pt>
                <c:pt idx="25">
                  <c:v>6.8335889998706989E-2</c:v>
                </c:pt>
                <c:pt idx="26">
                  <c:v>8.6685200003557838E-3</c:v>
                </c:pt>
                <c:pt idx="27">
                  <c:v>1.4712854994286317E-2</c:v>
                </c:pt>
                <c:pt idx="28">
                  <c:v>1.1726260003342759E-2</c:v>
                </c:pt>
                <c:pt idx="29">
                  <c:v>0</c:v>
                </c:pt>
                <c:pt idx="30">
                  <c:v>-4.6448799985228106E-3</c:v>
                </c:pt>
                <c:pt idx="31">
                  <c:v>-9.2897399954381399E-3</c:v>
                </c:pt>
                <c:pt idx="32">
                  <c:v>-1.2864399992395192E-2</c:v>
                </c:pt>
                <c:pt idx="33">
                  <c:v>-1.2996069999644533E-2</c:v>
                </c:pt>
                <c:pt idx="34">
                  <c:v>-1.2454419993446209E-2</c:v>
                </c:pt>
                <c:pt idx="35">
                  <c:v>-1.311277000058908E-2</c:v>
                </c:pt>
                <c:pt idx="36">
                  <c:v>-1.281277000089176E-2</c:v>
                </c:pt>
                <c:pt idx="37">
                  <c:v>-1.2244439996720757E-2</c:v>
                </c:pt>
                <c:pt idx="38">
                  <c:v>-1.1782829998992383E-2</c:v>
                </c:pt>
                <c:pt idx="39">
                  <c:v>-1.3915299998188857E-2</c:v>
                </c:pt>
                <c:pt idx="40">
                  <c:v>-2.9781980003463104E-2</c:v>
                </c:pt>
                <c:pt idx="41">
                  <c:v>-2.9926360002718866E-2</c:v>
                </c:pt>
                <c:pt idx="42">
                  <c:v>-3.2974729998386465E-2</c:v>
                </c:pt>
                <c:pt idx="43">
                  <c:v>-3.3606010001676623E-2</c:v>
                </c:pt>
                <c:pt idx="44">
                  <c:v>-3.3664560003671795E-2</c:v>
                </c:pt>
                <c:pt idx="45">
                  <c:v>-3.5247329993580934E-2</c:v>
                </c:pt>
                <c:pt idx="46">
                  <c:v>-3.5864029996446334E-2</c:v>
                </c:pt>
                <c:pt idx="47">
                  <c:v>-3.6895700002787635E-2</c:v>
                </c:pt>
                <c:pt idx="48">
                  <c:v>-3.5440809995634481E-2</c:v>
                </c:pt>
                <c:pt idx="49">
                  <c:v>-3.3505879997392185E-2</c:v>
                </c:pt>
                <c:pt idx="50">
                  <c:v>-4.7069510001165327E-2</c:v>
                </c:pt>
                <c:pt idx="51">
                  <c:v>-5.4894130000320729E-2</c:v>
                </c:pt>
                <c:pt idx="52">
                  <c:v>-5.7297059996926691E-2</c:v>
                </c:pt>
                <c:pt idx="53">
                  <c:v>-5.9418159995402675E-2</c:v>
                </c:pt>
                <c:pt idx="54">
                  <c:v>-6.0945110002649017E-2</c:v>
                </c:pt>
                <c:pt idx="55">
                  <c:v>-6.0393480001948774E-2</c:v>
                </c:pt>
                <c:pt idx="56">
                  <c:v>-6.0267000000749249E-2</c:v>
                </c:pt>
                <c:pt idx="57">
                  <c:v>-6.1598870001034811E-2</c:v>
                </c:pt>
                <c:pt idx="58">
                  <c:v>-6.1598870001034811E-2</c:v>
                </c:pt>
                <c:pt idx="59">
                  <c:v>-6.0698870001942851E-2</c:v>
                </c:pt>
                <c:pt idx="60">
                  <c:v>-6.3288099998317193E-2</c:v>
                </c:pt>
                <c:pt idx="61">
                  <c:v>-6.5374529993277974E-2</c:v>
                </c:pt>
                <c:pt idx="62">
                  <c:v>-8.714721000433201E-2</c:v>
                </c:pt>
                <c:pt idx="63">
                  <c:v>-9.3131589994300157E-2</c:v>
                </c:pt>
                <c:pt idx="64">
                  <c:v>-9.3071589995815884E-2</c:v>
                </c:pt>
                <c:pt idx="65">
                  <c:v>-9.2881589996977709E-2</c:v>
                </c:pt>
                <c:pt idx="66">
                  <c:v>-9.2291589993692469E-2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2-4E29-AECE-255240400D8F}"/>
            </c:ext>
          </c:extLst>
        </c:ser>
        <c:ser>
          <c:idx val="8"/>
          <c:order val="1"/>
          <c:tx>
            <c:strRef>
              <c:f>'A (old2)'!$W$1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(old2)'!$V$2:$V$19</c:f>
              <c:numCache>
                <c:formatCode>General</c:formatCode>
                <c:ptCount val="18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</c:numCache>
            </c:numRef>
          </c:xVal>
          <c:yVal>
            <c:numRef>
              <c:f>'A (old2)'!$W$2:$W$19</c:f>
              <c:numCache>
                <c:formatCode>0.00E+00</c:formatCode>
                <c:ptCount val="18"/>
                <c:pt idx="0">
                  <c:v>-0.26815895972259141</c:v>
                </c:pt>
                <c:pt idx="1">
                  <c:v>-0.19189865848060539</c:v>
                </c:pt>
                <c:pt idx="2">
                  <c:v>-0.1243316579005852</c:v>
                </c:pt>
                <c:pt idx="3">
                  <c:v>-6.545795798253079E-2</c:v>
                </c:pt>
                <c:pt idx="4">
                  <c:v>-1.527755872644232E-2</c:v>
                </c:pt>
                <c:pt idx="5">
                  <c:v>2.6209539867680209E-2</c:v>
                </c:pt>
                <c:pt idx="6">
                  <c:v>5.9003337799836963E-2</c:v>
                </c:pt>
                <c:pt idx="7">
                  <c:v>8.3103835070027859E-2</c:v>
                </c:pt>
                <c:pt idx="8">
                  <c:v>9.8511031678252814E-2</c:v>
                </c:pt>
                <c:pt idx="9">
                  <c:v>0.10522492762451201</c:v>
                </c:pt>
                <c:pt idx="10">
                  <c:v>0.10324552290880525</c:v>
                </c:pt>
                <c:pt idx="11">
                  <c:v>9.2572817531132626E-2</c:v>
                </c:pt>
                <c:pt idx="12">
                  <c:v>7.3206811491494134E-2</c:v>
                </c:pt>
                <c:pt idx="13">
                  <c:v>4.514750478988979E-2</c:v>
                </c:pt>
                <c:pt idx="14">
                  <c:v>8.3948974263195648E-3</c:v>
                </c:pt>
                <c:pt idx="15">
                  <c:v>-3.7051010599216526E-2</c:v>
                </c:pt>
                <c:pt idx="16">
                  <c:v>-9.1190219286718499E-2</c:v>
                </c:pt>
                <c:pt idx="17">
                  <c:v>-0.15402272863618632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2-4E29-AECE-25524040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9744"/>
        <c:axId val="1"/>
      </c:scatterChart>
      <c:valAx>
        <c:axId val="99769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69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40102854752410444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7392520003533E-2"/>
          <c:y val="9.7619274598387734E-2"/>
          <c:w val="0.90874093023285007"/>
          <c:h val="0.7714303651189665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(old)'!$D$21:$D$86</c:f>
              <c:numCache>
                <c:formatCode>General</c:formatCode>
                <c:ptCount val="66"/>
                <c:pt idx="0">
                  <c:v>-6.4995500000000002</c:v>
                </c:pt>
                <c:pt idx="1">
                  <c:v>-6.4995000000000003</c:v>
                </c:pt>
                <c:pt idx="2">
                  <c:v>-6.4116499999999998</c:v>
                </c:pt>
                <c:pt idx="3">
                  <c:v>-6.4116</c:v>
                </c:pt>
                <c:pt idx="4">
                  <c:v>-6.3215000000000003</c:v>
                </c:pt>
                <c:pt idx="5">
                  <c:v>-6.2445000000000004</c:v>
                </c:pt>
                <c:pt idx="6">
                  <c:v>-6.2445000000000004</c:v>
                </c:pt>
                <c:pt idx="7">
                  <c:v>-6.0077499999999997</c:v>
                </c:pt>
                <c:pt idx="8">
                  <c:v>-6.0076999999999998</c:v>
                </c:pt>
                <c:pt idx="9">
                  <c:v>-5.89445</c:v>
                </c:pt>
                <c:pt idx="10">
                  <c:v>-5.8944000000000001</c:v>
                </c:pt>
                <c:pt idx="11">
                  <c:v>-5.7948000000000004</c:v>
                </c:pt>
                <c:pt idx="12">
                  <c:v>-5.7947499999999996</c:v>
                </c:pt>
                <c:pt idx="13">
                  <c:v>-5.4929500000000004</c:v>
                </c:pt>
                <c:pt idx="14">
                  <c:v>-2.1354000000000002</c:v>
                </c:pt>
                <c:pt idx="15">
                  <c:v>-2.1354000000000002</c:v>
                </c:pt>
                <c:pt idx="16">
                  <c:v>-2.1236999999999999</c:v>
                </c:pt>
                <c:pt idx="17">
                  <c:v>-2.0427</c:v>
                </c:pt>
                <c:pt idx="18">
                  <c:v>-2.0427</c:v>
                </c:pt>
                <c:pt idx="19">
                  <c:v>-2.0179499999999999</c:v>
                </c:pt>
                <c:pt idx="20">
                  <c:v>-2.0176500000000002</c:v>
                </c:pt>
                <c:pt idx="21">
                  <c:v>-2.0176500000000002</c:v>
                </c:pt>
                <c:pt idx="22">
                  <c:v>-2.01735</c:v>
                </c:pt>
                <c:pt idx="23">
                  <c:v>-2.0171000000000001</c:v>
                </c:pt>
                <c:pt idx="24">
                  <c:v>-2.0171000000000001</c:v>
                </c:pt>
                <c:pt idx="25">
                  <c:v>-1.0973999999999999</c:v>
                </c:pt>
                <c:pt idx="26">
                  <c:v>-1.0949</c:v>
                </c:pt>
                <c:pt idx="27">
                  <c:v>-1.0871</c:v>
                </c:pt>
                <c:pt idx="28">
                  <c:v>-0.98160000000000003</c:v>
                </c:pt>
                <c:pt idx="29">
                  <c:v>-0.19605</c:v>
                </c:pt>
                <c:pt idx="30">
                  <c:v>-0.1893</c:v>
                </c:pt>
                <c:pt idx="31">
                  <c:v>-0.11215</c:v>
                </c:pt>
                <c:pt idx="32">
                  <c:v>0</c:v>
                </c:pt>
                <c:pt idx="33">
                  <c:v>4.9500000000000004E-3</c:v>
                </c:pt>
                <c:pt idx="34">
                  <c:v>0.12784999999999999</c:v>
                </c:pt>
                <c:pt idx="35">
                  <c:v>0.19775000000000001</c:v>
                </c:pt>
                <c:pt idx="36">
                  <c:v>0.1978</c:v>
                </c:pt>
                <c:pt idx="37">
                  <c:v>0.19805</c:v>
                </c:pt>
                <c:pt idx="38">
                  <c:v>0.1983</c:v>
                </c:pt>
                <c:pt idx="39">
                  <c:v>0.1983</c:v>
                </c:pt>
                <c:pt idx="40">
                  <c:v>0.19835</c:v>
                </c:pt>
                <c:pt idx="41">
                  <c:v>0.19919999999999999</c:v>
                </c:pt>
                <c:pt idx="42">
                  <c:v>0.21124999999999999</c:v>
                </c:pt>
                <c:pt idx="43">
                  <c:v>0.31145</c:v>
                </c:pt>
                <c:pt idx="44">
                  <c:v>0.32715</c:v>
                </c:pt>
                <c:pt idx="45">
                  <c:v>0.32769999999999999</c:v>
                </c:pt>
                <c:pt idx="46">
                  <c:v>0.39689999999999998</c:v>
                </c:pt>
                <c:pt idx="47">
                  <c:v>0.40015000000000001</c:v>
                </c:pt>
                <c:pt idx="48">
                  <c:v>0.41670000000000001</c:v>
                </c:pt>
                <c:pt idx="49">
                  <c:v>0.41720000000000002</c:v>
                </c:pt>
                <c:pt idx="50">
                  <c:v>0.41725000000000001</c:v>
                </c:pt>
                <c:pt idx="51">
                  <c:v>0.41889999999999999</c:v>
                </c:pt>
                <c:pt idx="52">
                  <c:v>0.41994999999999999</c:v>
                </c:pt>
                <c:pt idx="53">
                  <c:v>0.59940000000000004</c:v>
                </c:pt>
                <c:pt idx="54">
                  <c:v>0.61870000000000003</c:v>
                </c:pt>
                <c:pt idx="55">
                  <c:v>0.63765000000000005</c:v>
                </c:pt>
                <c:pt idx="56">
                  <c:v>0.70415000000000005</c:v>
                </c:pt>
                <c:pt idx="57">
                  <c:v>0.73340000000000005</c:v>
                </c:pt>
                <c:pt idx="58">
                  <c:v>0.73394999999999999</c:v>
                </c:pt>
                <c:pt idx="59">
                  <c:v>0.73675000000000002</c:v>
                </c:pt>
                <c:pt idx="60">
                  <c:v>0.73980000000000001</c:v>
                </c:pt>
                <c:pt idx="61">
                  <c:v>0.73980000000000001</c:v>
                </c:pt>
                <c:pt idx="62">
                  <c:v>0.73980000000000001</c:v>
                </c:pt>
                <c:pt idx="63">
                  <c:v>0.80325000000000002</c:v>
                </c:pt>
                <c:pt idx="64">
                  <c:v>0.82469999999999999</c:v>
                </c:pt>
                <c:pt idx="65">
                  <c:v>1.0148999999999999</c:v>
                </c:pt>
              </c:numCache>
            </c:numRef>
          </c:xVal>
          <c:yVal>
            <c:numRef>
              <c:f>'Q_fit (old)'!$E$21:$E$86</c:f>
              <c:numCache>
                <c:formatCode>General</c:formatCode>
                <c:ptCount val="66"/>
                <c:pt idx="0">
                  <c:v>-0.16869457999928272</c:v>
                </c:pt>
                <c:pt idx="1">
                  <c:v>-0.17782625000108965</c:v>
                </c:pt>
                <c:pt idx="2">
                  <c:v>-0.1751704400012386</c:v>
                </c:pt>
                <c:pt idx="3">
                  <c:v>-0.16430211000260897</c:v>
                </c:pt>
                <c:pt idx="4">
                  <c:v>-0.18057145000057062</c:v>
                </c:pt>
                <c:pt idx="5">
                  <c:v>-0.21734325000215904</c:v>
                </c:pt>
                <c:pt idx="6">
                  <c:v>-0.21734325000215904</c:v>
                </c:pt>
                <c:pt idx="7">
                  <c:v>-0.12980070000048727</c:v>
                </c:pt>
                <c:pt idx="8">
                  <c:v>-0.12193236999883084</c:v>
                </c:pt>
                <c:pt idx="9">
                  <c:v>-0.10816491999867139</c:v>
                </c:pt>
                <c:pt idx="10">
                  <c:v>-0.10829658999864478</c:v>
                </c:pt>
                <c:pt idx="11">
                  <c:v>-9.758322999914526E-2</c:v>
                </c:pt>
                <c:pt idx="12">
                  <c:v>-9.0714900001330534E-2</c:v>
                </c:pt>
                <c:pt idx="13">
                  <c:v>-7.7475019999837968E-2</c:v>
                </c:pt>
                <c:pt idx="14">
                  <c:v>0.10965281000244431</c:v>
                </c:pt>
                <c:pt idx="15">
                  <c:v>0.10995281000214163</c:v>
                </c:pt>
                <c:pt idx="16">
                  <c:v>0.10834203000558773</c:v>
                </c:pt>
                <c:pt idx="17">
                  <c:v>0.10893663000024389</c:v>
                </c:pt>
                <c:pt idx="18">
                  <c:v>0.11003663000155939</c:v>
                </c:pt>
                <c:pt idx="19">
                  <c:v>0.10815998000180116</c:v>
                </c:pt>
                <c:pt idx="20">
                  <c:v>0.10856996000075014</c:v>
                </c:pt>
                <c:pt idx="21">
                  <c:v>0.10876996000297368</c:v>
                </c:pt>
                <c:pt idx="22">
                  <c:v>0.10837994000030449</c:v>
                </c:pt>
                <c:pt idx="23">
                  <c:v>0.10802159000013489</c:v>
                </c:pt>
                <c:pt idx="24">
                  <c:v>0.10852158999477979</c:v>
                </c:pt>
                <c:pt idx="25">
                  <c:v>6.0283610000624321E-2</c:v>
                </c:pt>
                <c:pt idx="26">
                  <c:v>6.1700109996309038E-2</c:v>
                </c:pt>
                <c:pt idx="27">
                  <c:v>6.0159590000694152E-2</c:v>
                </c:pt>
                <c:pt idx="28">
                  <c:v>6.8335889998706989E-2</c:v>
                </c:pt>
                <c:pt idx="29">
                  <c:v>8.6685200003557838E-3</c:v>
                </c:pt>
                <c:pt idx="30">
                  <c:v>1.4712854994286317E-2</c:v>
                </c:pt>
                <c:pt idx="31">
                  <c:v>1.1726260003342759E-2</c:v>
                </c:pt>
                <c:pt idx="32">
                  <c:v>0</c:v>
                </c:pt>
                <c:pt idx="33">
                  <c:v>-4.6448799985228106E-3</c:v>
                </c:pt>
                <c:pt idx="34">
                  <c:v>-9.2897399954381399E-3</c:v>
                </c:pt>
                <c:pt idx="35">
                  <c:v>-1.2864399992395192E-2</c:v>
                </c:pt>
                <c:pt idx="36">
                  <c:v>-1.2996069999644533E-2</c:v>
                </c:pt>
                <c:pt idx="37">
                  <c:v>-1.2454419993446209E-2</c:v>
                </c:pt>
                <c:pt idx="38">
                  <c:v>-1.311277000058908E-2</c:v>
                </c:pt>
                <c:pt idx="39">
                  <c:v>-1.281277000089176E-2</c:v>
                </c:pt>
                <c:pt idx="40">
                  <c:v>-1.2244439996720757E-2</c:v>
                </c:pt>
                <c:pt idx="41">
                  <c:v>-1.1782829998992383E-2</c:v>
                </c:pt>
                <c:pt idx="42">
                  <c:v>-1.3915299998188857E-2</c:v>
                </c:pt>
                <c:pt idx="43">
                  <c:v>-2.9781980003463104E-2</c:v>
                </c:pt>
                <c:pt idx="44">
                  <c:v>-2.9926360002718866E-2</c:v>
                </c:pt>
                <c:pt idx="45">
                  <c:v>-3.2974729998386465E-2</c:v>
                </c:pt>
                <c:pt idx="46">
                  <c:v>-3.3606010001676623E-2</c:v>
                </c:pt>
                <c:pt idx="47">
                  <c:v>-3.3664560003671795E-2</c:v>
                </c:pt>
                <c:pt idx="48">
                  <c:v>-3.5247329993580934E-2</c:v>
                </c:pt>
                <c:pt idx="49">
                  <c:v>-3.5864029996446334E-2</c:v>
                </c:pt>
                <c:pt idx="50">
                  <c:v>-3.6895700002787635E-2</c:v>
                </c:pt>
                <c:pt idx="51">
                  <c:v>-3.5440809995634481E-2</c:v>
                </c:pt>
                <c:pt idx="52">
                  <c:v>-3.3505879997392185E-2</c:v>
                </c:pt>
                <c:pt idx="53">
                  <c:v>-4.7069510001165327E-2</c:v>
                </c:pt>
                <c:pt idx="54">
                  <c:v>-5.4894130000320729E-2</c:v>
                </c:pt>
                <c:pt idx="55">
                  <c:v>-5.7297059996926691E-2</c:v>
                </c:pt>
                <c:pt idx="56">
                  <c:v>-5.9418159995402675E-2</c:v>
                </c:pt>
                <c:pt idx="57">
                  <c:v>-6.0945110002649017E-2</c:v>
                </c:pt>
                <c:pt idx="58">
                  <c:v>-6.0393480001948774E-2</c:v>
                </c:pt>
                <c:pt idx="59">
                  <c:v>-6.0267000000749249E-2</c:v>
                </c:pt>
                <c:pt idx="60">
                  <c:v>-6.1598870001034811E-2</c:v>
                </c:pt>
                <c:pt idx="61">
                  <c:v>-6.1598870001034811E-2</c:v>
                </c:pt>
                <c:pt idx="62">
                  <c:v>-6.0698870001942851E-2</c:v>
                </c:pt>
                <c:pt idx="63">
                  <c:v>-6.3288099998317193E-2</c:v>
                </c:pt>
                <c:pt idx="64">
                  <c:v>-6.5374529993277974E-2</c:v>
                </c:pt>
                <c:pt idx="65">
                  <c:v>-8.714721000433201E-2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F7-4C41-80BB-526119D680EE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(old)'!$U$2:$U$17</c:f>
              <c:numCache>
                <c:formatCode>General</c:formatCode>
                <c:ptCount val="16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</c:numCache>
            </c:numRef>
          </c:xVal>
          <c:yVal>
            <c:numRef>
              <c:f>'Q_fit (old)'!$V$2:$V$17</c:f>
              <c:numCache>
                <c:formatCode>General</c:formatCode>
                <c:ptCount val="16"/>
                <c:pt idx="0">
                  <c:v>-0.19443598040276355</c:v>
                </c:pt>
                <c:pt idx="1">
                  <c:v>-0.12580457991187866</c:v>
                </c:pt>
                <c:pt idx="2">
                  <c:v>-6.6023830436026831E-2</c:v>
                </c:pt>
                <c:pt idx="3">
                  <c:v>-1.5093731975208191E-2</c:v>
                </c:pt>
                <c:pt idx="4">
                  <c:v>2.6985715470577321E-2</c:v>
                </c:pt>
                <c:pt idx="5">
                  <c:v>6.0214511901329593E-2</c:v>
                </c:pt>
                <c:pt idx="6">
                  <c:v>8.4592657317048736E-2</c:v>
                </c:pt>
                <c:pt idx="7">
                  <c:v>0.10012015171773478</c:v>
                </c:pt>
                <c:pt idx="8">
                  <c:v>0.10679699510338761</c:v>
                </c:pt>
                <c:pt idx="9">
                  <c:v>0.10462318747400733</c:v>
                </c:pt>
                <c:pt idx="10">
                  <c:v>9.3598728829593886E-2</c:v>
                </c:pt>
                <c:pt idx="11">
                  <c:v>7.3723619170147317E-2</c:v>
                </c:pt>
                <c:pt idx="12">
                  <c:v>4.4997858495667571E-2</c:v>
                </c:pt>
                <c:pt idx="13">
                  <c:v>7.4214468061546803E-3</c:v>
                </c:pt>
                <c:pt idx="14">
                  <c:v>-3.9005615898391362E-2</c:v>
                </c:pt>
                <c:pt idx="15">
                  <c:v>-9.4283329617970549E-2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F7-4C41-80BB-526119D6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922776"/>
        <c:axId val="1"/>
      </c:scatterChart>
      <c:valAx>
        <c:axId val="42192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9227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187687657294765"/>
          <c:y val="0.93095463067116613"/>
          <c:w val="0.60154282128615666"/>
          <c:h val="0.97857367829021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247650</xdr:colOff>
      <xdr:row>18</xdr:row>
      <xdr:rowOff>114300</xdr:rowOff>
    </xdr:to>
    <xdr:graphicFrame macro="">
      <xdr:nvGraphicFramePr>
        <xdr:cNvPr id="54284" name="Chart 1">
          <a:extLst>
            <a:ext uri="{FF2B5EF4-FFF2-40B4-BE49-F238E27FC236}">
              <a16:creationId xmlns:a16="http://schemas.microsoft.com/office/drawing/2014/main" id="{AF78968C-4158-FCF1-14B0-6D4421BB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26</xdr:col>
      <xdr:colOff>419100</xdr:colOff>
      <xdr:row>18</xdr:row>
      <xdr:rowOff>123825</xdr:rowOff>
    </xdr:to>
    <xdr:graphicFrame macro="">
      <xdr:nvGraphicFramePr>
        <xdr:cNvPr id="54286" name="Chart 8">
          <a:extLst>
            <a:ext uri="{FF2B5EF4-FFF2-40B4-BE49-F238E27FC236}">
              <a16:creationId xmlns:a16="http://schemas.microsoft.com/office/drawing/2014/main" id="{4BA4FC93-0B09-388F-47A2-84476C05B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19049</xdr:rowOff>
    </xdr:from>
    <xdr:to>
      <xdr:col>12</xdr:col>
      <xdr:colOff>238125</xdr:colOff>
      <xdr:row>20</xdr:row>
      <xdr:rowOff>19049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306838E-E4C3-E65C-9A75-DE6F5F0C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0</xdr:rowOff>
    </xdr:from>
    <xdr:to>
      <xdr:col>18</xdr:col>
      <xdr:colOff>47625</xdr:colOff>
      <xdr:row>18</xdr:row>
      <xdr:rowOff>114300</xdr:rowOff>
    </xdr:to>
    <xdr:graphicFrame macro="">
      <xdr:nvGraphicFramePr>
        <xdr:cNvPr id="66569" name="Chart 1">
          <a:extLst>
            <a:ext uri="{FF2B5EF4-FFF2-40B4-BE49-F238E27FC236}">
              <a16:creationId xmlns:a16="http://schemas.microsoft.com/office/drawing/2014/main" id="{2263A308-0268-5920-6FDF-CB8E5977E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438149</xdr:colOff>
      <xdr:row>0</xdr:row>
      <xdr:rowOff>28575</xdr:rowOff>
    </xdr:from>
    <xdr:to>
      <xdr:col>26</xdr:col>
      <xdr:colOff>28574</xdr:colOff>
      <xdr:row>19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F6D31C4-D25D-1EEE-721D-D70412F1F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21</xdr:row>
      <xdr:rowOff>66675</xdr:rowOff>
    </xdr:from>
    <xdr:to>
      <xdr:col>12</xdr:col>
      <xdr:colOff>123825</xdr:colOff>
      <xdr:row>39</xdr:row>
      <xdr:rowOff>47625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33E2EF-BF58-F006-37D9-8C261947A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47625</xdr:rowOff>
    </xdr:from>
    <xdr:to>
      <xdr:col>12</xdr:col>
      <xdr:colOff>142875</xdr:colOff>
      <xdr:row>19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220DA4-4528-F7A5-B347-EB8483399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0</xdr:rowOff>
    </xdr:from>
    <xdr:to>
      <xdr:col>16</xdr:col>
      <xdr:colOff>571500</xdr:colOff>
      <xdr:row>18</xdr:row>
      <xdr:rowOff>114300</xdr:rowOff>
    </xdr:to>
    <xdr:graphicFrame macro="">
      <xdr:nvGraphicFramePr>
        <xdr:cNvPr id="69637" name="Chart 1">
          <a:extLst>
            <a:ext uri="{FF2B5EF4-FFF2-40B4-BE49-F238E27FC236}">
              <a16:creationId xmlns:a16="http://schemas.microsoft.com/office/drawing/2014/main" id="{B0DAFA38-31F5-018D-3E86-76D63869A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19050</xdr:rowOff>
    </xdr:from>
    <xdr:to>
      <xdr:col>18</xdr:col>
      <xdr:colOff>409575</xdr:colOff>
      <xdr:row>24</xdr:row>
      <xdr:rowOff>9525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9D703003-B60E-ADDA-A5F1-095AB303C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18</xdr:col>
      <xdr:colOff>266700</xdr:colOff>
      <xdr:row>24</xdr:row>
      <xdr:rowOff>9525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5CBCA65F-B7C0-3996-3CC0-1ABF2042F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24</xdr:row>
      <xdr:rowOff>9525</xdr:rowOff>
    </xdr:from>
    <xdr:to>
      <xdr:col>16</xdr:col>
      <xdr:colOff>76200</xdr:colOff>
      <xdr:row>38</xdr:row>
      <xdr:rowOff>142875</xdr:rowOff>
    </xdr:to>
    <xdr:graphicFrame macro="">
      <xdr:nvGraphicFramePr>
        <xdr:cNvPr id="51207" name="Chart 3">
          <a:extLst>
            <a:ext uri="{FF2B5EF4-FFF2-40B4-BE49-F238E27FC236}">
              <a16:creationId xmlns:a16="http://schemas.microsoft.com/office/drawing/2014/main" id="{691ED893-2670-EC3B-5F7D-46B306062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171450</xdr:rowOff>
    </xdr:from>
    <xdr:to>
      <xdr:col>17</xdr:col>
      <xdr:colOff>400050</xdr:colOff>
      <xdr:row>23</xdr:row>
      <xdr:rowOff>38100</xdr:rowOff>
    </xdr:to>
    <xdr:graphicFrame macro="">
      <xdr:nvGraphicFramePr>
        <xdr:cNvPr id="51208" name="Chart 4">
          <a:extLst>
            <a:ext uri="{FF2B5EF4-FFF2-40B4-BE49-F238E27FC236}">
              <a16:creationId xmlns:a16="http://schemas.microsoft.com/office/drawing/2014/main" id="{39C94FEF-8D97-DD72-0572-2F3EDBCB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24</xdr:row>
      <xdr:rowOff>9525</xdr:rowOff>
    </xdr:from>
    <xdr:to>
      <xdr:col>16</xdr:col>
      <xdr:colOff>76200</xdr:colOff>
      <xdr:row>38</xdr:row>
      <xdr:rowOff>142875</xdr:rowOff>
    </xdr:to>
    <xdr:graphicFrame macro="">
      <xdr:nvGraphicFramePr>
        <xdr:cNvPr id="68613" name="Chart 1">
          <a:extLst>
            <a:ext uri="{FF2B5EF4-FFF2-40B4-BE49-F238E27FC236}">
              <a16:creationId xmlns:a16="http://schemas.microsoft.com/office/drawing/2014/main" id="{8F4A5CF2-7263-7C29-7F40-6EBADE64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171450</xdr:rowOff>
    </xdr:from>
    <xdr:to>
      <xdr:col>17</xdr:col>
      <xdr:colOff>400050</xdr:colOff>
      <xdr:row>23</xdr:row>
      <xdr:rowOff>38100</xdr:rowOff>
    </xdr:to>
    <xdr:graphicFrame macro="">
      <xdr:nvGraphicFramePr>
        <xdr:cNvPr id="68614" name="Chart 2">
          <a:extLst>
            <a:ext uri="{FF2B5EF4-FFF2-40B4-BE49-F238E27FC236}">
              <a16:creationId xmlns:a16="http://schemas.microsoft.com/office/drawing/2014/main" id="{30F22E27-BA52-7E3C-834B-42C1A377D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</xdr:row>
      <xdr:rowOff>0</xdr:rowOff>
    </xdr:from>
    <xdr:to>
      <xdr:col>18</xdr:col>
      <xdr:colOff>104775</xdr:colOff>
      <xdr:row>21</xdr:row>
      <xdr:rowOff>19050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F4F1050A-F54F-C518-C784-3474C14A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1038225</xdr:colOff>
      <xdr:row>22</xdr:row>
      <xdr:rowOff>95250</xdr:rowOff>
    </xdr:from>
    <xdr:to>
      <xdr:col>8</xdr:col>
      <xdr:colOff>466725</xdr:colOff>
      <xdr:row>43</xdr:row>
      <xdr:rowOff>76200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0826F4E5-92A5-7630-FDC4-D06652B12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276225</xdr:colOff>
      <xdr:row>18</xdr:row>
      <xdr:rowOff>114300</xdr:rowOff>
    </xdr:to>
    <xdr:graphicFrame macro="">
      <xdr:nvGraphicFramePr>
        <xdr:cNvPr id="64519" name="Chart 1">
          <a:extLst>
            <a:ext uri="{FF2B5EF4-FFF2-40B4-BE49-F238E27FC236}">
              <a16:creationId xmlns:a16="http://schemas.microsoft.com/office/drawing/2014/main" id="{C210C12E-5925-6F0F-61DE-9F6F92A41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152400</xdr:colOff>
      <xdr:row>4</xdr:row>
      <xdr:rowOff>0</xdr:rowOff>
    </xdr:from>
    <xdr:to>
      <xdr:col>32</xdr:col>
      <xdr:colOff>66675</xdr:colOff>
      <xdr:row>24</xdr:row>
      <xdr:rowOff>57150</xdr:rowOff>
    </xdr:to>
    <xdr:graphicFrame macro="">
      <xdr:nvGraphicFramePr>
        <xdr:cNvPr id="64520" name="Chart 2">
          <a:extLst>
            <a:ext uri="{FF2B5EF4-FFF2-40B4-BE49-F238E27FC236}">
              <a16:creationId xmlns:a16="http://schemas.microsoft.com/office/drawing/2014/main" id="{E78BF4CA-5755-3F6F-6473-5FA927D4C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32</xdr:row>
      <xdr:rowOff>66675</xdr:rowOff>
    </xdr:from>
    <xdr:to>
      <xdr:col>19</xdr:col>
      <xdr:colOff>19050</xdr:colOff>
      <xdr:row>48</xdr:row>
      <xdr:rowOff>142875</xdr:rowOff>
    </xdr:to>
    <xdr:graphicFrame macro="">
      <xdr:nvGraphicFramePr>
        <xdr:cNvPr id="64521" name="Chart 3">
          <a:extLst>
            <a:ext uri="{FF2B5EF4-FFF2-40B4-BE49-F238E27FC236}">
              <a16:creationId xmlns:a16="http://schemas.microsoft.com/office/drawing/2014/main" id="{88E40E87-AD67-8951-0884-C0126F68F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9525</xdr:rowOff>
    </xdr:from>
    <xdr:to>
      <xdr:col>19</xdr:col>
      <xdr:colOff>85725</xdr:colOff>
      <xdr:row>24</xdr:row>
      <xdr:rowOff>0</xdr:rowOff>
    </xdr:to>
    <xdr:graphicFrame macro="">
      <xdr:nvGraphicFramePr>
        <xdr:cNvPr id="57347" name="Chart 1">
          <a:extLst>
            <a:ext uri="{FF2B5EF4-FFF2-40B4-BE49-F238E27FC236}">
              <a16:creationId xmlns:a16="http://schemas.microsoft.com/office/drawing/2014/main" id="{992A4100-A8E4-7C48-C600-706F41EE8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035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2035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2035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035" TargetMode="External"/><Relationship Id="rId16" Type="http://schemas.openxmlformats.org/officeDocument/2006/relationships/hyperlink" Target="http://www.konkoly.hu/cgi-bin/IBVS?5741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035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aavso.org/sites/default/files/jaavso/v37n1/44.pdf" TargetMode="External"/><Relationship Id="rId32" Type="http://schemas.openxmlformats.org/officeDocument/2006/relationships/hyperlink" Target="http://vsolj.cetus-net.org/vsoljno55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2035" TargetMode="External"/><Relationship Id="rId15" Type="http://schemas.openxmlformats.org/officeDocument/2006/relationships/hyperlink" Target="http://www.konkoly.hu/cgi-bin/IBVS?5690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vsoljno51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2035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W2534"/>
  <sheetViews>
    <sheetView tabSelected="1" workbookViewId="0">
      <pane xSplit="13" ySplit="22" topLeftCell="N112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2.5703125" style="10" customWidth="1"/>
    <col min="6" max="6" width="15.8554687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 s="211" customFormat="1" ht="12.95" customHeight="1">
      <c r="A2" s="211" t="s">
        <v>27</v>
      </c>
      <c r="B2" s="211" t="s">
        <v>30</v>
      </c>
      <c r="V2" s="211">
        <v>-50000</v>
      </c>
      <c r="W2" s="212">
        <f>+D$11+D$12*V2+D$13*V2^2</f>
        <v>-0.64626770974432546</v>
      </c>
    </row>
    <row r="3" spans="1:23" s="211" customFormat="1" ht="12.95" customHeight="1" thickBot="1">
      <c r="C3" s="213"/>
      <c r="D3" s="213"/>
      <c r="E3" s="214"/>
      <c r="V3" s="211">
        <v>-45000</v>
      </c>
      <c r="W3" s="212">
        <f>+D$11+D$12*V3+D$13*V3^2</f>
        <v>-0.54426410079126664</v>
      </c>
    </row>
    <row r="4" spans="1:23" s="211" customFormat="1" ht="12.95" customHeight="1" thickTop="1" thickBot="1">
      <c r="A4" s="215" t="s">
        <v>3</v>
      </c>
      <c r="B4" s="215"/>
      <c r="C4" s="216">
        <v>44788.590100000001</v>
      </c>
      <c r="D4" s="217">
        <v>0.35826333999999999</v>
      </c>
      <c r="G4" s="213"/>
      <c r="V4" s="211">
        <v>-40000</v>
      </c>
      <c r="W4" s="212">
        <f t="shared" ref="W4:W20" si="0">+D$11+D$12*V4+D$13*V4^2</f>
        <v>-0.45081905230762209</v>
      </c>
    </row>
    <row r="5" spans="1:23" s="211" customFormat="1" ht="12.95" customHeight="1" thickTop="1">
      <c r="A5" s="218" t="s">
        <v>45</v>
      </c>
      <c r="C5" s="219">
        <v>-9.5</v>
      </c>
      <c r="D5" s="211" t="s">
        <v>46</v>
      </c>
      <c r="V5" s="211">
        <v>-35000</v>
      </c>
      <c r="W5" s="212">
        <f t="shared" si="0"/>
        <v>-0.36593256429339188</v>
      </c>
    </row>
    <row r="6" spans="1:23" s="211" customFormat="1" ht="12.95" customHeight="1">
      <c r="A6" s="215" t="s">
        <v>4</v>
      </c>
      <c r="B6" s="215"/>
      <c r="V6" s="211">
        <v>-30000</v>
      </c>
      <c r="W6" s="212">
        <f t="shared" si="0"/>
        <v>-0.28960463674857601</v>
      </c>
    </row>
    <row r="7" spans="1:23" s="211" customFormat="1" ht="12.95" customHeight="1">
      <c r="A7" s="211" t="s">
        <v>5</v>
      </c>
      <c r="C7" s="213">
        <v>44788.595000000001</v>
      </c>
      <c r="D7" s="220" t="s">
        <v>135</v>
      </c>
      <c r="V7" s="211">
        <v>-25000</v>
      </c>
      <c r="W7" s="212">
        <f t="shared" si="0"/>
        <v>-0.22183526967317449</v>
      </c>
    </row>
    <row r="8" spans="1:23" s="211" customFormat="1" ht="12.95" customHeight="1">
      <c r="A8" s="211" t="s">
        <v>6</v>
      </c>
      <c r="C8" s="221">
        <v>0.35825796999999998</v>
      </c>
      <c r="D8" s="220" t="s">
        <v>135</v>
      </c>
      <c r="V8" s="211">
        <v>-20000</v>
      </c>
      <c r="W8" s="212">
        <f t="shared" si="0"/>
        <v>-0.16262446306718728</v>
      </c>
    </row>
    <row r="9" spans="1:23" s="211" customFormat="1" ht="12.95" customHeight="1">
      <c r="A9" s="222" t="s">
        <v>48</v>
      </c>
      <c r="C9" s="223">
        <v>47</v>
      </c>
      <c r="D9" s="224" t="str">
        <f>"F"&amp;C9</f>
        <v>F47</v>
      </c>
      <c r="E9" s="220" t="str">
        <f>"G"&amp;C9</f>
        <v>G47</v>
      </c>
      <c r="V9" s="211">
        <v>-15000</v>
      </c>
      <c r="W9" s="212">
        <f t="shared" si="0"/>
        <v>-0.1119722169306144</v>
      </c>
    </row>
    <row r="10" spans="1:23" s="211" customFormat="1" ht="12.95" customHeight="1" thickBot="1">
      <c r="C10" s="225" t="s">
        <v>23</v>
      </c>
      <c r="D10" s="225" t="s">
        <v>24</v>
      </c>
      <c r="V10" s="211">
        <v>-10000</v>
      </c>
      <c r="W10" s="212">
        <f t="shared" si="0"/>
        <v>-6.9878531263455876E-2</v>
      </c>
    </row>
    <row r="11" spans="1:23" s="211" customFormat="1" ht="12.95" customHeight="1">
      <c r="A11" s="211" t="s">
        <v>19</v>
      </c>
      <c r="C11" s="220">
        <f ca="1">INTERCEPT(INDIRECT($E$9):G967,INDIRECT($D$9):F967)</f>
        <v>6.7765558715412982E-2</v>
      </c>
      <c r="D11" s="226">
        <f>+E11*F11</f>
        <v>-1.136684133738179E-2</v>
      </c>
      <c r="E11" s="227">
        <v>-113.6684133738179</v>
      </c>
      <c r="F11" s="212">
        <v>1E-4</v>
      </c>
      <c r="G11" s="213"/>
      <c r="V11" s="211">
        <v>-5000</v>
      </c>
      <c r="W11" s="212">
        <f t="shared" si="0"/>
        <v>-3.6343406065711667E-2</v>
      </c>
    </row>
    <row r="12" spans="1:23" s="211" customFormat="1" ht="12.95" customHeight="1">
      <c r="A12" s="211" t="s">
        <v>20</v>
      </c>
      <c r="C12" s="220">
        <f ca="1">SLOPE(INDIRECT($E$9):G967,INDIRECT($D$9):F967)</f>
        <v>-3.4859452635804021E-6</v>
      </c>
      <c r="D12" s="226">
        <f>+E12*F12</f>
        <v>4.1394568987245419E-6</v>
      </c>
      <c r="E12" s="228">
        <v>4.1394568987245419</v>
      </c>
      <c r="F12" s="212">
        <v>9.9999999999999995E-7</v>
      </c>
      <c r="V12" s="211">
        <v>0</v>
      </c>
      <c r="W12" s="212">
        <f t="shared" si="0"/>
        <v>-1.136684133738179E-2</v>
      </c>
    </row>
    <row r="13" spans="1:23" s="211" customFormat="1" ht="12.95" customHeight="1" thickBot="1">
      <c r="A13" s="211" t="s">
        <v>22</v>
      </c>
      <c r="C13" s="226" t="s">
        <v>17</v>
      </c>
      <c r="D13" s="226">
        <f>+E13*F13</f>
        <v>-1.7117120938828665E-10</v>
      </c>
      <c r="E13" s="229">
        <v>-0.17117120938828664</v>
      </c>
      <c r="F13" s="212">
        <v>1.0000000000000001E-9</v>
      </c>
      <c r="V13" s="211">
        <v>5000</v>
      </c>
      <c r="W13" s="212">
        <f t="shared" si="0"/>
        <v>5.0511629215337526E-3</v>
      </c>
    </row>
    <row r="14" spans="1:23" s="211" customFormat="1" ht="12.95" customHeight="1">
      <c r="E14" s="211">
        <f>SUM(T21:T145)</f>
        <v>4.7329424558782238E-2</v>
      </c>
      <c r="V14" s="211">
        <v>10000</v>
      </c>
      <c r="W14" s="212">
        <f t="shared" si="0"/>
        <v>1.2910606711034962E-2</v>
      </c>
    </row>
    <row r="15" spans="1:23" s="211" customFormat="1" ht="12.95" customHeight="1">
      <c r="A15" s="230" t="s">
        <v>21</v>
      </c>
      <c r="C15" s="231">
        <f ca="1">(C7+C11)+(C8+C12)*INT(MAX(F21:F3508))</f>
        <v>59651.20829105351</v>
      </c>
      <c r="D15" s="220">
        <f>+C7+INT(MAX(F21:F1582))*C8+D11+D12*INT(MAX(F21:F4017))+D13*INT(MAX(F21:F4044)^2)</f>
        <v>59651.150905339586</v>
      </c>
      <c r="E15" s="232" t="s">
        <v>187</v>
      </c>
      <c r="F15" s="219">
        <v>1</v>
      </c>
      <c r="V15" s="211">
        <v>15000</v>
      </c>
      <c r="W15" s="212">
        <f t="shared" si="0"/>
        <v>1.221149003112184E-2</v>
      </c>
    </row>
    <row r="16" spans="1:23" s="211" customFormat="1" ht="12.95" customHeight="1">
      <c r="A16" s="215" t="s">
        <v>7</v>
      </c>
      <c r="C16" s="233">
        <f ca="1">+C8+C12</f>
        <v>0.35825448405473642</v>
      </c>
      <c r="D16" s="220">
        <f>+C8+D12+2*D13*MAX(F21:F362)</f>
        <v>0.35824790703931331</v>
      </c>
      <c r="E16" s="232" t="s">
        <v>188</v>
      </c>
      <c r="F16" s="234">
        <f ca="1">NOW()+15018.5+$C$5/24</f>
        <v>60358.753585300925</v>
      </c>
      <c r="V16" s="211">
        <v>20000</v>
      </c>
      <c r="W16" s="212">
        <f t="shared" si="0"/>
        <v>2.9538128817943876E-3</v>
      </c>
    </row>
    <row r="17" spans="1:23" s="211" customFormat="1" ht="12.95" customHeight="1" thickBot="1">
      <c r="A17" s="232" t="s">
        <v>43</v>
      </c>
      <c r="C17" s="211">
        <f>COUNT(C21:C2166)</f>
        <v>113</v>
      </c>
      <c r="D17" s="232"/>
      <c r="E17" s="232" t="s">
        <v>189</v>
      </c>
      <c r="F17" s="234">
        <f ca="1">ROUND(2*(F16-$C$7)/$C$8,0)/2+F15</f>
        <v>43461.5</v>
      </c>
      <c r="V17" s="211">
        <v>25000</v>
      </c>
      <c r="W17" s="212">
        <f t="shared" si="0"/>
        <v>-1.4862424736947405E-2</v>
      </c>
    </row>
    <row r="18" spans="1:23" s="211" customFormat="1" ht="12.95" customHeight="1" thickTop="1" thickBot="1">
      <c r="A18" s="215" t="s">
        <v>151</v>
      </c>
      <c r="C18" s="235">
        <f ca="1">+C15</f>
        <v>59651.20829105351</v>
      </c>
      <c r="D18" s="236">
        <f ca="1">+C16</f>
        <v>0.35825448405473642</v>
      </c>
      <c r="E18" s="232" t="s">
        <v>190</v>
      </c>
      <c r="F18" s="220">
        <f ca="1">ROUND(2*(F16-$C$15)/$C$16,0)/2+F15</f>
        <v>1976</v>
      </c>
      <c r="V18" s="211">
        <v>30000</v>
      </c>
      <c r="W18" s="212">
        <f t="shared" si="0"/>
        <v>-4.1237222825103517E-2</v>
      </c>
    </row>
    <row r="19" spans="1:23" s="211" customFormat="1" ht="12.95" customHeight="1" thickBot="1">
      <c r="A19" s="215" t="s">
        <v>152</v>
      </c>
      <c r="C19" s="237">
        <f>+D15</f>
        <v>59651.150905339586</v>
      </c>
      <c r="D19" s="238">
        <f>+D16</f>
        <v>0.35824790703931331</v>
      </c>
      <c r="E19" s="232" t="s">
        <v>191</v>
      </c>
      <c r="F19" s="239">
        <f ca="1">+$C$15+$C$16*F18-15018.5-$C$5/24</f>
        <v>45341.014984879002</v>
      </c>
      <c r="V19" s="211">
        <v>35000</v>
      </c>
      <c r="W19" s="212">
        <f t="shared" si="0"/>
        <v>-7.6170581382673963E-2</v>
      </c>
    </row>
    <row r="20" spans="1:23" s="211" customFormat="1" ht="12.95" customHeight="1" thickBot="1">
      <c r="A20" s="225" t="s">
        <v>9</v>
      </c>
      <c r="B20" s="225" t="s">
        <v>10</v>
      </c>
      <c r="C20" s="225" t="s">
        <v>11</v>
      </c>
      <c r="D20" s="225" t="s">
        <v>16</v>
      </c>
      <c r="E20" s="225" t="s">
        <v>12</v>
      </c>
      <c r="F20" s="225" t="s">
        <v>13</v>
      </c>
      <c r="G20" s="225" t="s">
        <v>14</v>
      </c>
      <c r="H20" s="240" t="s">
        <v>195</v>
      </c>
      <c r="I20" s="240" t="s">
        <v>181</v>
      </c>
      <c r="J20" s="240" t="s">
        <v>179</v>
      </c>
      <c r="K20" s="240" t="s">
        <v>213</v>
      </c>
      <c r="L20" s="240" t="s">
        <v>432</v>
      </c>
      <c r="M20" s="240" t="s">
        <v>433</v>
      </c>
      <c r="N20" s="240" t="s">
        <v>434</v>
      </c>
      <c r="O20" s="240" t="s">
        <v>26</v>
      </c>
      <c r="P20" s="241" t="s">
        <v>25</v>
      </c>
      <c r="Q20" s="225" t="s">
        <v>18</v>
      </c>
      <c r="R20" s="241" t="s">
        <v>153</v>
      </c>
      <c r="S20" s="241" t="s">
        <v>155</v>
      </c>
      <c r="T20" s="241" t="s">
        <v>154</v>
      </c>
      <c r="V20" s="211">
        <v>40000</v>
      </c>
      <c r="W20" s="212">
        <f t="shared" si="0"/>
        <v>-0.11966250040965873</v>
      </c>
    </row>
    <row r="21" spans="1:23" s="211" customFormat="1" ht="12.95" customHeight="1">
      <c r="A21" s="242" t="s">
        <v>142</v>
      </c>
      <c r="B21" s="226"/>
      <c r="C21" s="243">
        <v>28731.308000000001</v>
      </c>
      <c r="D21" s="243"/>
      <c r="E21" s="244">
        <f t="shared" ref="E21:E52" si="1">+(C21-C$7)/C$8</f>
        <v>-44820.459960737237</v>
      </c>
      <c r="F21" s="245">
        <f t="shared" ref="F21:F28" si="2">ROUND(2*E21,0)/2+1.5</f>
        <v>-44819</v>
      </c>
      <c r="G21" s="213">
        <f t="shared" ref="G21:G52" si="3">+C21-(C$7+F21*C$8)</f>
        <v>-0.5230425700028718</v>
      </c>
      <c r="H21" s="213">
        <f>+G21</f>
        <v>-0.5230425700028718</v>
      </c>
      <c r="I21" s="213"/>
      <c r="J21" s="213"/>
      <c r="K21" s="213"/>
      <c r="L21" s="213"/>
      <c r="M21" s="213"/>
      <c r="N21" s="213"/>
      <c r="O21" s="213"/>
      <c r="P21" s="213">
        <f t="shared" ref="P21:P52" si="4">+D$11+D$12*F21+D$13*F21^2</f>
        <v>-0.54073208783165305</v>
      </c>
      <c r="Q21" s="246">
        <f t="shared" ref="Q21:Q52" si="5">+C21-15018.5</f>
        <v>13712.808000000001</v>
      </c>
      <c r="R21" s="211">
        <f t="shared" ref="R21:R52" si="6">+(P21-G21)^2</f>
        <v>3.1291904101476986E-4</v>
      </c>
      <c r="S21" s="211">
        <v>0.1</v>
      </c>
      <c r="T21" s="211">
        <f t="shared" ref="T21:T52" si="7">S21*R21</f>
        <v>3.1291904101476989E-5</v>
      </c>
      <c r="U21" s="211" t="e">
        <f>VLOOKUP(C21,'Active 2'!C$41:E$95,3,FALSE)</f>
        <v>#N/A</v>
      </c>
      <c r="W21" s="212"/>
    </row>
    <row r="22" spans="1:23" s="211" customFormat="1" ht="12.95" customHeight="1">
      <c r="A22" s="242" t="s">
        <v>142</v>
      </c>
      <c r="B22" s="226"/>
      <c r="C22" s="243">
        <v>28731.477999999999</v>
      </c>
      <c r="D22" s="243"/>
      <c r="E22" s="247">
        <f t="shared" si="1"/>
        <v>-44819.985442333644</v>
      </c>
      <c r="F22" s="245">
        <f t="shared" si="2"/>
        <v>-44818.5</v>
      </c>
      <c r="G22" s="213">
        <f t="shared" si="3"/>
        <v>-0.53217155500533408</v>
      </c>
      <c r="H22" s="213">
        <f>+G22</f>
        <v>-0.53217155500533408</v>
      </c>
      <c r="I22" s="213"/>
      <c r="J22" s="213"/>
      <c r="K22" s="213"/>
      <c r="L22" s="213"/>
      <c r="M22" s="213"/>
      <c r="N22" s="213"/>
      <c r="O22" s="213"/>
      <c r="P22" s="213">
        <f t="shared" si="4"/>
        <v>-0.54072234642356287</v>
      </c>
      <c r="Q22" s="246">
        <f t="shared" si="5"/>
        <v>13712.977999999999</v>
      </c>
      <c r="R22" s="211">
        <f t="shared" si="6"/>
        <v>7.3116033878055074E-5</v>
      </c>
      <c r="S22" s="211">
        <v>0.1</v>
      </c>
      <c r="T22" s="211">
        <f t="shared" si="7"/>
        <v>7.3116033878055081E-6</v>
      </c>
      <c r="U22" s="211" t="e">
        <f>VLOOKUP(C22,'Active 2'!C$41:E$95,3,FALSE)</f>
        <v>#N/A</v>
      </c>
      <c r="W22" s="212"/>
    </row>
    <row r="23" spans="1:23" s="211" customFormat="1" ht="12.95" customHeight="1">
      <c r="A23" s="242" t="s">
        <v>142</v>
      </c>
      <c r="B23" s="226"/>
      <c r="C23" s="243">
        <v>29046.215</v>
      </c>
      <c r="D23" s="243"/>
      <c r="E23" s="247">
        <f t="shared" si="1"/>
        <v>-43941.464861200438</v>
      </c>
      <c r="F23" s="245">
        <f t="shared" si="2"/>
        <v>-43940</v>
      </c>
      <c r="G23" s="213">
        <f t="shared" si="3"/>
        <v>-0.52479820000371546</v>
      </c>
      <c r="H23" s="213">
        <f>+G23</f>
        <v>-0.52479820000371546</v>
      </c>
      <c r="I23" s="213"/>
      <c r="J23" s="213"/>
      <c r="K23" s="213"/>
      <c r="L23" s="213"/>
      <c r="M23" s="213"/>
      <c r="N23" s="213"/>
      <c r="O23" s="213"/>
      <c r="P23" s="213">
        <f t="shared" si="4"/>
        <v>-0.52373887107384476</v>
      </c>
      <c r="Q23" s="246">
        <f t="shared" si="5"/>
        <v>14027.715</v>
      </c>
      <c r="R23" s="211">
        <f t="shared" si="6"/>
        <v>1.1221777816610163E-6</v>
      </c>
      <c r="S23" s="211">
        <v>0.1</v>
      </c>
      <c r="T23" s="211">
        <f t="shared" si="7"/>
        <v>1.1221777816610163E-7</v>
      </c>
      <c r="U23" s="211" t="e">
        <f>VLOOKUP(C23,'Active 2'!C$41:E$95,3,FALSE)</f>
        <v>#N/A</v>
      </c>
      <c r="W23" s="212"/>
    </row>
    <row r="24" spans="1:23" s="211" customFormat="1" ht="12.95" customHeight="1">
      <c r="A24" s="242" t="s">
        <v>142</v>
      </c>
      <c r="B24" s="226"/>
      <c r="C24" s="243">
        <v>29046.404999999999</v>
      </c>
      <c r="D24" s="243"/>
      <c r="E24" s="247">
        <f t="shared" si="1"/>
        <v>-43940.934517102309</v>
      </c>
      <c r="F24" s="245">
        <f t="shared" si="2"/>
        <v>-43939.5</v>
      </c>
      <c r="G24" s="213">
        <f t="shared" si="3"/>
        <v>-0.51392718500574119</v>
      </c>
      <c r="H24" s="213">
        <f>+G24</f>
        <v>-0.51392718500574119</v>
      </c>
      <c r="I24" s="213"/>
      <c r="J24" s="213"/>
      <c r="K24" s="213"/>
      <c r="L24" s="213"/>
      <c r="M24" s="213"/>
      <c r="N24" s="213"/>
      <c r="O24" s="213"/>
      <c r="P24" s="213">
        <f t="shared" si="4"/>
        <v>-0.52372928012524766</v>
      </c>
      <c r="Q24" s="246">
        <f t="shared" si="5"/>
        <v>14027.904999999999</v>
      </c>
      <c r="R24" s="211">
        <f t="shared" si="6"/>
        <v>9.6081068731852584E-5</v>
      </c>
      <c r="S24" s="211">
        <v>0.1</v>
      </c>
      <c r="T24" s="211">
        <f t="shared" si="7"/>
        <v>9.608106873185259E-6</v>
      </c>
      <c r="U24" s="211" t="e">
        <f>VLOOKUP(C24,'Active 2'!C$41:E$95,3,FALSE)</f>
        <v>#N/A</v>
      </c>
      <c r="W24" s="212"/>
    </row>
    <row r="25" spans="1:23" s="211" customFormat="1" ht="12.95" customHeight="1">
      <c r="A25" s="242" t="s">
        <v>31</v>
      </c>
      <c r="B25" s="226"/>
      <c r="C25" s="243">
        <v>29369.184000000001</v>
      </c>
      <c r="D25" s="243"/>
      <c r="E25" s="247">
        <f t="shared" si="1"/>
        <v>-43039.966424194281</v>
      </c>
      <c r="F25" s="245">
        <f t="shared" si="2"/>
        <v>-43038.5</v>
      </c>
      <c r="G25" s="213">
        <f t="shared" si="3"/>
        <v>-0.52535815499868477</v>
      </c>
      <c r="H25" s="213">
        <f>+G25</f>
        <v>-0.52535815499868477</v>
      </c>
      <c r="I25" s="213"/>
      <c r="J25" s="213"/>
      <c r="K25" s="213"/>
      <c r="L25" s="213"/>
      <c r="M25" s="213"/>
      <c r="N25" s="213"/>
      <c r="O25" s="213"/>
      <c r="P25" s="213">
        <f t="shared" si="4"/>
        <v>-0.50658542482488977</v>
      </c>
      <c r="Q25" s="246">
        <f t="shared" si="5"/>
        <v>14350.684000000001</v>
      </c>
      <c r="R25" s="211">
        <f t="shared" si="6"/>
        <v>3.5241539817811301E-4</v>
      </c>
      <c r="S25" s="211">
        <v>0.1</v>
      </c>
      <c r="T25" s="211">
        <f t="shared" si="7"/>
        <v>3.5241539817811305E-5</v>
      </c>
      <c r="U25" s="211" t="e">
        <f>VLOOKUP(C25,'Active 2'!C$41:E$95,3,FALSE)</f>
        <v>#N/A</v>
      </c>
      <c r="W25" s="212"/>
    </row>
    <row r="26" spans="1:23" s="211" customFormat="1" ht="12.95" customHeight="1">
      <c r="A26" s="248" t="s">
        <v>124</v>
      </c>
      <c r="B26" s="249" t="s">
        <v>39</v>
      </c>
      <c r="C26" s="250">
        <v>29645.01</v>
      </c>
      <c r="D26" s="250"/>
      <c r="E26" s="247">
        <f t="shared" si="1"/>
        <v>-42270.057523074793</v>
      </c>
      <c r="F26" s="245">
        <f t="shared" si="2"/>
        <v>-42268.5</v>
      </c>
      <c r="G26" s="213">
        <f t="shared" si="3"/>
        <v>-0.5579950550054491</v>
      </c>
      <c r="H26" s="213">
        <f>G26</f>
        <v>-0.5579950550054491</v>
      </c>
      <c r="I26" s="213"/>
      <c r="J26" s="213"/>
      <c r="K26" s="213"/>
      <c r="L26" s="213"/>
      <c r="M26" s="213"/>
      <c r="N26" s="213"/>
      <c r="O26" s="213">
        <f ca="1">+C$11+C$12*F26</f>
        <v>0.21511123608906121</v>
      </c>
      <c r="P26" s="213">
        <f t="shared" si="4"/>
        <v>-0.49215442419622113</v>
      </c>
      <c r="Q26" s="246">
        <f t="shared" si="5"/>
        <v>14626.509999999998</v>
      </c>
      <c r="R26" s="211">
        <f t="shared" si="6"/>
        <v>4.3349886653570599E-3</v>
      </c>
      <c r="S26" s="211">
        <v>0.1</v>
      </c>
      <c r="T26" s="211">
        <f t="shared" si="7"/>
        <v>4.3349886653570603E-4</v>
      </c>
      <c r="U26" s="211" t="e">
        <f>VLOOKUP(C26,'Active 2'!C$41:E$95,3,FALSE)</f>
        <v>#N/A</v>
      </c>
    </row>
    <row r="27" spans="1:23" s="211" customFormat="1" ht="12.95" customHeight="1">
      <c r="A27" s="242" t="s">
        <v>142</v>
      </c>
      <c r="B27" s="226"/>
      <c r="C27" s="243">
        <v>30493.286</v>
      </c>
      <c r="D27" s="243"/>
      <c r="E27" s="247">
        <f t="shared" si="1"/>
        <v>-39902.277679963416</v>
      </c>
      <c r="F27" s="245">
        <f t="shared" si="2"/>
        <v>-39901</v>
      </c>
      <c r="G27" s="213">
        <f t="shared" si="3"/>
        <v>-0.45773903000372229</v>
      </c>
      <c r="H27" s="213">
        <f t="shared" ref="H27:H33" si="8">+G27</f>
        <v>-0.45773903000372229</v>
      </c>
      <c r="I27" s="213"/>
      <c r="J27" s="213"/>
      <c r="K27" s="213"/>
      <c r="L27" s="213"/>
      <c r="M27" s="213"/>
      <c r="N27" s="213"/>
      <c r="O27" s="213"/>
      <c r="P27" s="213">
        <f t="shared" si="4"/>
        <v>-0.44905524774531635</v>
      </c>
      <c r="Q27" s="246">
        <f t="shared" si="5"/>
        <v>15474.786</v>
      </c>
      <c r="R27" s="211">
        <f t="shared" si="6"/>
        <v>7.540807431140571E-5</v>
      </c>
      <c r="S27" s="211">
        <v>0.1</v>
      </c>
      <c r="T27" s="211">
        <f t="shared" si="7"/>
        <v>7.5408074311405713E-6</v>
      </c>
      <c r="U27" s="211" t="e">
        <f>VLOOKUP(C27,'Active 2'!C$41:E$95,3,FALSE)</f>
        <v>#N/A</v>
      </c>
    </row>
    <row r="28" spans="1:23" s="211" customFormat="1" ht="12.95" customHeight="1">
      <c r="A28" s="242" t="s">
        <v>142</v>
      </c>
      <c r="B28" s="226"/>
      <c r="C28" s="243">
        <v>30493.473000000002</v>
      </c>
      <c r="D28" s="243"/>
      <c r="E28" s="247">
        <f t="shared" si="1"/>
        <v>-39901.755709719451</v>
      </c>
      <c r="F28" s="245">
        <f t="shared" si="2"/>
        <v>-39900.5</v>
      </c>
      <c r="G28" s="213">
        <f t="shared" si="3"/>
        <v>-0.44986801500272122</v>
      </c>
      <c r="H28" s="213">
        <f t="shared" si="8"/>
        <v>-0.44986801500272122</v>
      </c>
      <c r="I28" s="213"/>
      <c r="J28" s="213"/>
      <c r="K28" s="213"/>
      <c r="L28" s="213"/>
      <c r="M28" s="213"/>
      <c r="N28" s="213"/>
      <c r="O28" s="213"/>
      <c r="P28" s="213">
        <f t="shared" si="4"/>
        <v>-0.44904634815723399</v>
      </c>
      <c r="Q28" s="246">
        <f t="shared" si="5"/>
        <v>15474.973000000002</v>
      </c>
      <c r="R28" s="211">
        <f t="shared" si="6"/>
        <v>6.7513640497294283E-7</v>
      </c>
      <c r="S28" s="211">
        <v>0.1</v>
      </c>
      <c r="T28" s="211">
        <f t="shared" si="7"/>
        <v>6.7513640497294283E-8</v>
      </c>
      <c r="U28" s="211" t="e">
        <f>VLOOKUP(C28,'Active 2'!C$41:E$95,3,FALSE)</f>
        <v>#N/A</v>
      </c>
    </row>
    <row r="29" spans="1:23" s="211" customFormat="1" ht="12.95" customHeight="1">
      <c r="A29" s="242" t="s">
        <v>144</v>
      </c>
      <c r="B29" s="226"/>
      <c r="C29" s="243">
        <v>30899.22</v>
      </c>
      <c r="D29" s="243"/>
      <c r="E29" s="247">
        <f t="shared" si="1"/>
        <v>-38769.200305578692</v>
      </c>
      <c r="F29" s="251">
        <f>ROUND(2*E29,0)/2+1</f>
        <v>-38768</v>
      </c>
      <c r="G29" s="213">
        <f t="shared" si="3"/>
        <v>-0.43001904000266222</v>
      </c>
      <c r="H29" s="213">
        <f t="shared" si="8"/>
        <v>-0.43001904000266222</v>
      </c>
      <c r="I29" s="213"/>
      <c r="J29" s="213"/>
      <c r="K29" s="213"/>
      <c r="L29" s="213"/>
      <c r="M29" s="213"/>
      <c r="N29" s="213"/>
      <c r="O29" s="213"/>
      <c r="P29" s="213">
        <f t="shared" si="4"/>
        <v>-0.42910841478080253</v>
      </c>
      <c r="Q29" s="246">
        <f t="shared" si="5"/>
        <v>15880.720000000001</v>
      </c>
      <c r="R29" s="211">
        <f t="shared" si="6"/>
        <v>8.2923829468701967E-7</v>
      </c>
      <c r="S29" s="211">
        <v>0.1</v>
      </c>
      <c r="T29" s="211">
        <f t="shared" si="7"/>
        <v>8.2923829468701973E-8</v>
      </c>
      <c r="U29" s="211" t="e">
        <f>VLOOKUP(C29,'Active 2'!C$41:E$95,3,FALSE)</f>
        <v>#N/A</v>
      </c>
    </row>
    <row r="30" spans="1:23" s="211" customFormat="1" ht="12.95" customHeight="1">
      <c r="A30" s="242" t="s">
        <v>144</v>
      </c>
      <c r="B30" s="226"/>
      <c r="C30" s="243">
        <v>30899.399000000001</v>
      </c>
      <c r="D30" s="243"/>
      <c r="E30" s="247">
        <f t="shared" si="1"/>
        <v>-38768.700665612552</v>
      </c>
      <c r="F30" s="251">
        <f>ROUND(2*E30,0)/2+1</f>
        <v>-38767.5</v>
      </c>
      <c r="G30" s="213">
        <f t="shared" si="3"/>
        <v>-0.43014802500329097</v>
      </c>
      <c r="H30" s="213">
        <f t="shared" si="8"/>
        <v>-0.43014802500329097</v>
      </c>
      <c r="I30" s="213"/>
      <c r="J30" s="213"/>
      <c r="K30" s="213"/>
      <c r="L30" s="213"/>
      <c r="M30" s="213"/>
      <c r="N30" s="213"/>
      <c r="O30" s="213"/>
      <c r="P30" s="213">
        <f t="shared" si="4"/>
        <v>-0.42909970912970036</v>
      </c>
      <c r="Q30" s="246">
        <f t="shared" si="5"/>
        <v>15880.899000000001</v>
      </c>
      <c r="R30" s="211">
        <f t="shared" si="6"/>
        <v>1.0989661708220451E-6</v>
      </c>
      <c r="S30" s="211">
        <v>0.1</v>
      </c>
      <c r="T30" s="211">
        <f t="shared" si="7"/>
        <v>1.0989661708220452E-7</v>
      </c>
      <c r="U30" s="211" t="e">
        <f>VLOOKUP(C30,'Active 2'!C$41:E$95,3,FALSE)</f>
        <v>#N/A</v>
      </c>
    </row>
    <row r="31" spans="1:23" s="211" customFormat="1" ht="12.95" customHeight="1">
      <c r="A31" s="242" t="s">
        <v>144</v>
      </c>
      <c r="B31" s="226"/>
      <c r="C31" s="243">
        <v>31256.240000000002</v>
      </c>
      <c r="D31" s="243"/>
      <c r="E31" s="214">
        <f t="shared" si="1"/>
        <v>-37772.655832332217</v>
      </c>
      <c r="F31" s="251">
        <f>ROUND(2*E31,0)/2+1</f>
        <v>-37771.5</v>
      </c>
      <c r="G31" s="213">
        <f t="shared" si="3"/>
        <v>-0.41408614499960095</v>
      </c>
      <c r="H31" s="213">
        <f t="shared" si="8"/>
        <v>-0.41408614499960095</v>
      </c>
      <c r="I31" s="213"/>
      <c r="J31" s="213"/>
      <c r="K31" s="213"/>
      <c r="L31" s="213"/>
      <c r="M31" s="213"/>
      <c r="N31" s="213"/>
      <c r="O31" s="213"/>
      <c r="P31" s="213">
        <f t="shared" si="4"/>
        <v>-0.41192794195598215</v>
      </c>
      <c r="Q31" s="246">
        <f t="shared" si="5"/>
        <v>16237.740000000002</v>
      </c>
      <c r="R31" s="211">
        <f t="shared" si="6"/>
        <v>4.657840377485454E-6</v>
      </c>
      <c r="S31" s="211">
        <v>0.1</v>
      </c>
      <c r="T31" s="211">
        <f t="shared" si="7"/>
        <v>4.6578403774854542E-7</v>
      </c>
      <c r="U31" s="211" t="e">
        <f>VLOOKUP(C31,'Active 2'!C$41:E$95,3,FALSE)</f>
        <v>#N/A</v>
      </c>
    </row>
    <row r="32" spans="1:23" s="211" customFormat="1" ht="12.95" customHeight="1">
      <c r="A32" s="242" t="s">
        <v>144</v>
      </c>
      <c r="B32" s="226"/>
      <c r="C32" s="243">
        <v>31256.425999999999</v>
      </c>
      <c r="D32" s="243"/>
      <c r="E32" s="214">
        <f t="shared" si="1"/>
        <v>-37772.136653372996</v>
      </c>
      <c r="F32" s="251">
        <f>ROUND(2*E32,0)/2+1</f>
        <v>-37771</v>
      </c>
      <c r="G32" s="213">
        <f t="shared" si="3"/>
        <v>-0.40721513000244158</v>
      </c>
      <c r="H32" s="213">
        <f t="shared" si="8"/>
        <v>-0.40721513000244158</v>
      </c>
      <c r="I32" s="213"/>
      <c r="J32" s="213"/>
      <c r="K32" s="213"/>
      <c r="L32" s="213"/>
      <c r="M32" s="213"/>
      <c r="N32" s="213"/>
      <c r="O32" s="213"/>
      <c r="P32" s="213">
        <f t="shared" si="4"/>
        <v>-0.41191940687699014</v>
      </c>
      <c r="Q32" s="246">
        <f t="shared" si="5"/>
        <v>16237.925999999999</v>
      </c>
      <c r="R32" s="211">
        <f t="shared" si="6"/>
        <v>2.2130220912412292E-5</v>
      </c>
      <c r="S32" s="211">
        <v>0.1</v>
      </c>
      <c r="T32" s="211">
        <f t="shared" si="7"/>
        <v>2.2130220912412291E-6</v>
      </c>
      <c r="U32" s="211" t="e">
        <f>VLOOKUP(C32,'Active 2'!C$41:E$95,3,FALSE)</f>
        <v>#N/A</v>
      </c>
    </row>
    <row r="33" spans="1:22" s="211" customFormat="1" ht="12.95" customHeight="1" thickBot="1">
      <c r="A33" s="252" t="s">
        <v>32</v>
      </c>
      <c r="B33" s="225"/>
      <c r="C33" s="253">
        <v>32337.678</v>
      </c>
      <c r="D33" s="253"/>
      <c r="E33" s="254">
        <f t="shared" si="1"/>
        <v>-34754.054459695624</v>
      </c>
      <c r="F33" s="251">
        <f>ROUND(2*E33,0)/2+1</f>
        <v>-34753</v>
      </c>
      <c r="G33" s="213">
        <f t="shared" si="3"/>
        <v>-0.3777685900022334</v>
      </c>
      <c r="H33" s="213">
        <f t="shared" si="8"/>
        <v>-0.3777685900022334</v>
      </c>
      <c r="I33" s="213"/>
      <c r="J33" s="213"/>
      <c r="K33" s="213"/>
      <c r="L33" s="213"/>
      <c r="M33" s="213"/>
      <c r="N33" s="213"/>
      <c r="O33" s="213"/>
      <c r="P33" s="213">
        <f t="shared" si="4"/>
        <v>-0.36196101121339702</v>
      </c>
      <c r="Q33" s="246">
        <f t="shared" si="5"/>
        <v>17319.178</v>
      </c>
      <c r="R33" s="211">
        <f t="shared" si="6"/>
        <v>2.4987954716526963E-4</v>
      </c>
      <c r="S33" s="211">
        <v>0.1</v>
      </c>
      <c r="T33" s="211">
        <f t="shared" si="7"/>
        <v>2.4987954716526965E-5</v>
      </c>
      <c r="U33" s="211" t="e">
        <f>VLOOKUP(C33,'Active 2'!C$41:E$95,3,FALSE)</f>
        <v>#N/A</v>
      </c>
    </row>
    <row r="34" spans="1:22" s="211" customFormat="1" ht="12.95" customHeight="1">
      <c r="A34" s="125" t="s">
        <v>178</v>
      </c>
      <c r="B34" s="126" t="s">
        <v>41</v>
      </c>
      <c r="C34" s="255">
        <v>44366.7353</v>
      </c>
      <c r="D34" s="125" t="s">
        <v>179</v>
      </c>
      <c r="E34" s="247">
        <f t="shared" si="1"/>
        <v>-1177.5305375620837</v>
      </c>
      <c r="F34" s="256">
        <f t="shared" ref="F34:F65" si="9">ROUND(2*E34,0)/2</f>
        <v>-1177.5</v>
      </c>
      <c r="G34" s="257">
        <f t="shared" si="3"/>
        <v>-1.0940325002593454E-2</v>
      </c>
      <c r="H34" s="257"/>
      <c r="I34" s="213"/>
      <c r="J34" s="213">
        <f t="shared" ref="J34:J41" si="10">+G34</f>
        <v>-1.0940325002593454E-2</v>
      </c>
      <c r="K34" s="213"/>
      <c r="L34" s="213"/>
      <c r="M34" s="213"/>
      <c r="N34" s="213"/>
      <c r="O34" s="213">
        <f t="shared" ref="O34:O65" ca="1" si="11">+C$11+C$12*F34</f>
        <v>7.1870259263278904E-2</v>
      </c>
      <c r="P34" s="213">
        <f t="shared" si="4"/>
        <v>-1.6478381787266856E-2</v>
      </c>
      <c r="Q34" s="246">
        <f t="shared" si="5"/>
        <v>29348.2353</v>
      </c>
      <c r="R34" s="211">
        <f t="shared" si="6"/>
        <v>3.06700729502671E-5</v>
      </c>
      <c r="S34" s="211">
        <v>1</v>
      </c>
      <c r="T34" s="211">
        <f t="shared" si="7"/>
        <v>3.06700729502671E-5</v>
      </c>
      <c r="U34" s="211" t="e">
        <f>VLOOKUP(C34,'Active 2'!C$41:E$95,3,FALSE)</f>
        <v>#N/A</v>
      </c>
      <c r="V34" s="255">
        <v>44366.7353</v>
      </c>
    </row>
    <row r="35" spans="1:22" s="211" customFormat="1" ht="12.95" customHeight="1">
      <c r="A35" s="125" t="s">
        <v>178</v>
      </c>
      <c r="B35" s="126" t="s">
        <v>41</v>
      </c>
      <c r="C35" s="255">
        <v>44408.6512</v>
      </c>
      <c r="D35" s="125" t="s">
        <v>179</v>
      </c>
      <c r="E35" s="247">
        <f t="shared" si="1"/>
        <v>-1060.5313260721064</v>
      </c>
      <c r="F35" s="256">
        <f t="shared" si="9"/>
        <v>-1060.5</v>
      </c>
      <c r="G35" s="257">
        <f t="shared" si="3"/>
        <v>-1.1222815002838615E-2</v>
      </c>
      <c r="H35" s="257"/>
      <c r="I35" s="213"/>
      <c r="J35" s="213">
        <f t="shared" si="10"/>
        <v>-1.1222815002838615E-2</v>
      </c>
      <c r="K35" s="213"/>
      <c r="L35" s="213"/>
      <c r="M35" s="213"/>
      <c r="N35" s="213"/>
      <c r="O35" s="213">
        <f t="shared" ca="1" si="11"/>
        <v>7.146240366744E-2</v>
      </c>
      <c r="P35" s="213">
        <f t="shared" si="4"/>
        <v>-1.5949244833622599E-2</v>
      </c>
      <c r="Q35" s="246">
        <f t="shared" si="5"/>
        <v>29390.1512</v>
      </c>
      <c r="R35" s="211">
        <f t="shared" si="6"/>
        <v>2.2339138945324719E-5</v>
      </c>
      <c r="S35" s="211">
        <v>1</v>
      </c>
      <c r="T35" s="211">
        <f t="shared" si="7"/>
        <v>2.2339138945324719E-5</v>
      </c>
      <c r="U35" s="211" t="e">
        <f>VLOOKUP(C35,'Active 2'!C$41:E$95,3,FALSE)</f>
        <v>#N/A</v>
      </c>
      <c r="V35" s="255">
        <v>44408.6512</v>
      </c>
    </row>
    <row r="36" spans="1:22" s="211" customFormat="1" ht="12.95" customHeight="1">
      <c r="A36" s="125" t="s">
        <v>178</v>
      </c>
      <c r="B36" s="126" t="s">
        <v>41</v>
      </c>
      <c r="C36" s="255">
        <v>44698.845500000003</v>
      </c>
      <c r="D36" s="125" t="s">
        <v>179</v>
      </c>
      <c r="E36" s="247">
        <f t="shared" si="1"/>
        <v>-250.51640860913182</v>
      </c>
      <c r="F36" s="256">
        <f t="shared" si="9"/>
        <v>-250.5</v>
      </c>
      <c r="G36" s="257">
        <f t="shared" si="3"/>
        <v>-5.8785149958566763E-3</v>
      </c>
      <c r="H36" s="257"/>
      <c r="I36" s="213"/>
      <c r="J36" s="213">
        <f t="shared" si="10"/>
        <v>-5.8785149958566763E-3</v>
      </c>
      <c r="K36" s="213"/>
      <c r="L36" s="213"/>
      <c r="M36" s="213"/>
      <c r="N36" s="213"/>
      <c r="O36" s="213">
        <f t="shared" ca="1" si="11"/>
        <v>6.8638788003939868E-2</v>
      </c>
      <c r="P36" s="213">
        <f t="shared" si="4"/>
        <v>-1.2414516326694205E-2</v>
      </c>
      <c r="Q36" s="246">
        <f t="shared" si="5"/>
        <v>29680.345500000003</v>
      </c>
      <c r="R36" s="211">
        <f t="shared" si="6"/>
        <v>4.2719313396709946E-5</v>
      </c>
      <c r="S36" s="211">
        <v>1</v>
      </c>
      <c r="T36" s="211">
        <f t="shared" si="7"/>
        <v>4.2719313396709946E-5</v>
      </c>
      <c r="U36" s="211" t="e">
        <f>VLOOKUP(C36,'Active 2'!C$41:E$95,3,FALSE)</f>
        <v>#N/A</v>
      </c>
      <c r="V36" s="255">
        <v>44698.845500000003</v>
      </c>
    </row>
    <row r="37" spans="1:22" s="211" customFormat="1" ht="12.95" customHeight="1">
      <c r="A37" s="125" t="s">
        <v>178</v>
      </c>
      <c r="B37" s="126" t="s">
        <v>39</v>
      </c>
      <c r="C37" s="255">
        <v>44787.515200000002</v>
      </c>
      <c r="D37" s="125" t="s">
        <v>179</v>
      </c>
      <c r="E37" s="247">
        <f t="shared" si="1"/>
        <v>-3.0140292482523772</v>
      </c>
      <c r="F37" s="256">
        <f t="shared" si="9"/>
        <v>-3</v>
      </c>
      <c r="G37" s="257">
        <f t="shared" si="3"/>
        <v>-5.0260900025023147E-3</v>
      </c>
      <c r="H37" s="257"/>
      <c r="I37" s="213"/>
      <c r="J37" s="213">
        <f t="shared" si="10"/>
        <v>-5.0260900025023147E-3</v>
      </c>
      <c r="K37" s="213"/>
      <c r="L37" s="213"/>
      <c r="M37" s="213"/>
      <c r="N37" s="213"/>
      <c r="O37" s="213">
        <f t="shared" ca="1" si="11"/>
        <v>6.777601655120373E-2</v>
      </c>
      <c r="P37" s="213">
        <f t="shared" si="4"/>
        <v>-1.1379261248618848E-2</v>
      </c>
      <c r="Q37" s="246">
        <f t="shared" si="5"/>
        <v>29769.015200000002</v>
      </c>
      <c r="R37" s="211">
        <f t="shared" si="6"/>
        <v>4.0362784882481902E-5</v>
      </c>
      <c r="S37" s="211">
        <v>1</v>
      </c>
      <c r="T37" s="211">
        <f t="shared" si="7"/>
        <v>4.0362784882481902E-5</v>
      </c>
      <c r="U37" s="211" t="e">
        <f>VLOOKUP(C37,'Active 2'!C$41:E$95,3,FALSE)</f>
        <v>#N/A</v>
      </c>
      <c r="V37" s="255">
        <v>44787.515200000002</v>
      </c>
    </row>
    <row r="38" spans="1:22" s="211" customFormat="1" ht="12.95" customHeight="1">
      <c r="A38" s="125" t="s">
        <v>178</v>
      </c>
      <c r="B38" s="126" t="s">
        <v>39</v>
      </c>
      <c r="C38" s="255">
        <v>44788.59</v>
      </c>
      <c r="D38" s="125" t="s">
        <v>179</v>
      </c>
      <c r="E38" s="247">
        <f t="shared" si="1"/>
        <v>-1.3956423648179029E-2</v>
      </c>
      <c r="F38" s="256">
        <f t="shared" si="9"/>
        <v>0</v>
      </c>
      <c r="G38" s="257">
        <f t="shared" si="3"/>
        <v>-5.0000000046566129E-3</v>
      </c>
      <c r="H38" s="257"/>
      <c r="I38" s="213"/>
      <c r="J38" s="213">
        <f t="shared" si="10"/>
        <v>-5.0000000046566129E-3</v>
      </c>
      <c r="K38" s="213"/>
      <c r="L38" s="213"/>
      <c r="M38" s="213"/>
      <c r="N38" s="213"/>
      <c r="O38" s="213">
        <f t="shared" ca="1" si="11"/>
        <v>6.7765558715412982E-2</v>
      </c>
      <c r="P38" s="213">
        <f t="shared" si="4"/>
        <v>-1.136684133738179E-2</v>
      </c>
      <c r="Q38" s="246">
        <f t="shared" si="5"/>
        <v>29770.089999999997</v>
      </c>
      <c r="R38" s="211">
        <f t="shared" si="6"/>
        <v>4.053666855609771E-5</v>
      </c>
      <c r="S38" s="211">
        <v>1</v>
      </c>
      <c r="T38" s="211">
        <f t="shared" si="7"/>
        <v>4.053666855609771E-5</v>
      </c>
      <c r="U38" s="211" t="e">
        <f>VLOOKUP(C38,'Active 2'!C$41:E$95,3,FALSE)</f>
        <v>#N/A</v>
      </c>
      <c r="V38" s="255">
        <v>44788.59</v>
      </c>
    </row>
    <row r="39" spans="1:22" s="211" customFormat="1" ht="12.95" customHeight="1">
      <c r="A39" s="125" t="s">
        <v>178</v>
      </c>
      <c r="B39" s="126" t="s">
        <v>39</v>
      </c>
      <c r="C39" s="255">
        <v>44789.665099999998</v>
      </c>
      <c r="D39" s="125" t="s">
        <v>179</v>
      </c>
      <c r="E39" s="247">
        <f t="shared" si="1"/>
        <v>2.9869537863935944</v>
      </c>
      <c r="F39" s="256">
        <f t="shared" si="9"/>
        <v>3</v>
      </c>
      <c r="G39" s="257">
        <f t="shared" si="3"/>
        <v>-4.6739099998376332E-3</v>
      </c>
      <c r="H39" s="257"/>
      <c r="I39" s="213"/>
      <c r="J39" s="213">
        <f t="shared" si="10"/>
        <v>-4.6739099998376332E-3</v>
      </c>
      <c r="K39" s="213"/>
      <c r="L39" s="213"/>
      <c r="M39" s="213"/>
      <c r="N39" s="213"/>
      <c r="O39" s="213">
        <f t="shared" ca="1" si="11"/>
        <v>6.7755100879622235E-2</v>
      </c>
      <c r="P39" s="213">
        <f t="shared" si="4"/>
        <v>-1.13544245072265E-2</v>
      </c>
      <c r="Q39" s="246">
        <f t="shared" si="5"/>
        <v>29771.165099999998</v>
      </c>
      <c r="R39" s="211">
        <f t="shared" si="6"/>
        <v>4.4629274083433123E-5</v>
      </c>
      <c r="S39" s="211">
        <v>1</v>
      </c>
      <c r="T39" s="211">
        <f t="shared" si="7"/>
        <v>4.4629274083433123E-5</v>
      </c>
      <c r="U39" s="211" t="e">
        <f>VLOOKUP(C39,'Active 2'!C$41:E$95,3,FALSE)</f>
        <v>#N/A</v>
      </c>
      <c r="V39" s="255">
        <v>44789.665099999998</v>
      </c>
    </row>
    <row r="40" spans="1:22" s="211" customFormat="1" ht="12.95" customHeight="1">
      <c r="A40" s="125" t="s">
        <v>178</v>
      </c>
      <c r="B40" s="126" t="s">
        <v>41</v>
      </c>
      <c r="C40" s="255">
        <v>44790.560299999997</v>
      </c>
      <c r="D40" s="125" t="s">
        <v>179</v>
      </c>
      <c r="E40" s="247">
        <f t="shared" si="1"/>
        <v>5.4857118740336883</v>
      </c>
      <c r="F40" s="256">
        <f t="shared" si="9"/>
        <v>5.5</v>
      </c>
      <c r="G40" s="257">
        <f t="shared" si="3"/>
        <v>-5.1188350043958053E-3</v>
      </c>
      <c r="H40" s="257"/>
      <c r="I40" s="213"/>
      <c r="J40" s="213">
        <f t="shared" si="10"/>
        <v>-5.1188350043958053E-3</v>
      </c>
      <c r="K40" s="213"/>
      <c r="L40" s="213"/>
      <c r="M40" s="213"/>
      <c r="N40" s="213"/>
      <c r="O40" s="213">
        <f t="shared" ca="1" si="11"/>
        <v>6.7746386016463295E-2</v>
      </c>
      <c r="P40" s="213">
        <f t="shared" si="4"/>
        <v>-1.1344079502367889E-2</v>
      </c>
      <c r="Q40" s="246">
        <f t="shared" si="5"/>
        <v>29772.060299999997</v>
      </c>
      <c r="R40" s="211">
        <f t="shared" si="6"/>
        <v>3.8753669059531695E-5</v>
      </c>
      <c r="S40" s="211">
        <v>1</v>
      </c>
      <c r="T40" s="211">
        <f t="shared" si="7"/>
        <v>3.8753669059531695E-5</v>
      </c>
      <c r="U40" s="211">
        <f>VLOOKUP(C40,'Active 2'!C$41:E$95,3,FALSE)</f>
        <v>5.4857118740336883</v>
      </c>
      <c r="V40" s="255">
        <v>44790.560299999997</v>
      </c>
    </row>
    <row r="41" spans="1:22" s="211" customFormat="1" ht="12.95" customHeight="1">
      <c r="A41" s="125" t="s">
        <v>178</v>
      </c>
      <c r="B41" s="126" t="s">
        <v>41</v>
      </c>
      <c r="C41" s="125">
        <v>44790.560299999997</v>
      </c>
      <c r="D41" s="125" t="s">
        <v>179</v>
      </c>
      <c r="E41" s="247">
        <f t="shared" si="1"/>
        <v>5.4857118740336883</v>
      </c>
      <c r="F41" s="256">
        <f t="shared" si="9"/>
        <v>5.5</v>
      </c>
      <c r="G41" s="257">
        <f t="shared" si="3"/>
        <v>-5.1188350043958053E-3</v>
      </c>
      <c r="H41" s="257"/>
      <c r="I41" s="213"/>
      <c r="J41" s="213">
        <f t="shared" si="10"/>
        <v>-5.1188350043958053E-3</v>
      </c>
      <c r="K41" s="213"/>
      <c r="L41" s="213"/>
      <c r="M41" s="213"/>
      <c r="N41" s="213"/>
      <c r="O41" s="213">
        <f t="shared" ca="1" si="11"/>
        <v>6.7746386016463295E-2</v>
      </c>
      <c r="P41" s="213">
        <f t="shared" si="4"/>
        <v>-1.1344079502367889E-2</v>
      </c>
      <c r="Q41" s="246">
        <f t="shared" si="5"/>
        <v>29772.060299999997</v>
      </c>
      <c r="R41" s="211">
        <f t="shared" si="6"/>
        <v>3.8753669059531695E-5</v>
      </c>
      <c r="S41" s="211">
        <v>1</v>
      </c>
      <c r="T41" s="211">
        <f t="shared" si="7"/>
        <v>3.8753669059531695E-5</v>
      </c>
      <c r="U41" s="211">
        <f>VLOOKUP(C41,'Active 2'!C$41:E$95,3,FALSE)</f>
        <v>5.4857118740336883</v>
      </c>
    </row>
    <row r="42" spans="1:22" s="211" customFormat="1" ht="12.95" customHeight="1">
      <c r="A42" s="258" t="s">
        <v>156</v>
      </c>
      <c r="B42" s="126"/>
      <c r="C42" s="259">
        <v>48085.46</v>
      </c>
      <c r="D42" s="259" t="s">
        <v>181</v>
      </c>
      <c r="E42" s="247">
        <f t="shared" si="1"/>
        <v>9202.4889216002593</v>
      </c>
      <c r="F42" s="256">
        <f t="shared" si="9"/>
        <v>9202.5</v>
      </c>
      <c r="G42" s="257">
        <f t="shared" si="3"/>
        <v>-3.968925004301127E-3</v>
      </c>
      <c r="H42" s="257"/>
      <c r="I42" s="213">
        <f>+G42</f>
        <v>-3.968925004301127E-3</v>
      </c>
      <c r="J42" s="213"/>
      <c r="K42" s="213"/>
      <c r="L42" s="213"/>
      <c r="M42" s="213"/>
      <c r="N42" s="213"/>
      <c r="O42" s="213">
        <f t="shared" ca="1" si="11"/>
        <v>3.5686147427314331E-2</v>
      </c>
      <c r="P42" s="213">
        <f t="shared" si="4"/>
        <v>1.2230704665054302E-2</v>
      </c>
      <c r="Q42" s="246">
        <f t="shared" si="5"/>
        <v>33066.959999999999</v>
      </c>
      <c r="R42" s="211">
        <f t="shared" si="6"/>
        <v>2.6242800142426065E-4</v>
      </c>
      <c r="S42" s="211">
        <v>0.1</v>
      </c>
      <c r="T42" s="211">
        <f t="shared" si="7"/>
        <v>2.6242800142426068E-5</v>
      </c>
      <c r="U42" s="211">
        <f>VLOOKUP(C42,'Active 2'!C$41:E$95,3,FALSE)</f>
        <v>9202.4889216002593</v>
      </c>
    </row>
    <row r="43" spans="1:22" s="211" customFormat="1" ht="12.95" customHeight="1">
      <c r="A43" s="260" t="s">
        <v>156</v>
      </c>
      <c r="B43" s="124"/>
      <c r="C43" s="261">
        <v>48094.417999999998</v>
      </c>
      <c r="D43" s="261" t="s">
        <v>181</v>
      </c>
      <c r="E43" s="247">
        <f t="shared" si="1"/>
        <v>9227.4932501850471</v>
      </c>
      <c r="F43" s="256">
        <f t="shared" si="9"/>
        <v>9227.5</v>
      </c>
      <c r="G43" s="257">
        <f t="shared" si="3"/>
        <v>-2.4181750050047413E-3</v>
      </c>
      <c r="H43" s="257"/>
      <c r="I43" s="213">
        <f>+G43</f>
        <v>-2.4181750050047413E-3</v>
      </c>
      <c r="J43" s="213"/>
      <c r="K43" s="213"/>
      <c r="L43" s="213"/>
      <c r="M43" s="213"/>
      <c r="N43" s="213"/>
      <c r="O43" s="213">
        <f t="shared" ca="1" si="11"/>
        <v>3.5598998795724819E-2</v>
      </c>
      <c r="P43" s="213">
        <f t="shared" si="4"/>
        <v>1.2255323952796765E-2</v>
      </c>
      <c r="Q43" s="246">
        <f t="shared" si="5"/>
        <v>33075.917999999998</v>
      </c>
      <c r="R43" s="211">
        <f t="shared" si="6"/>
        <v>2.153115716646019E-4</v>
      </c>
      <c r="S43" s="211">
        <v>0.1</v>
      </c>
      <c r="T43" s="211">
        <f t="shared" si="7"/>
        <v>2.1531157166460193E-5</v>
      </c>
      <c r="U43" s="211">
        <f>VLOOKUP(C43,'Active 2'!C$41:E$95,3,FALSE)</f>
        <v>9227.4932501850471</v>
      </c>
    </row>
    <row r="44" spans="1:22" s="211" customFormat="1" ht="12.95" customHeight="1">
      <c r="A44" s="260" t="s">
        <v>156</v>
      </c>
      <c r="B44" s="124"/>
      <c r="C44" s="261">
        <v>48122.360999999997</v>
      </c>
      <c r="D44" s="261" t="s">
        <v>181</v>
      </c>
      <c r="E44" s="247">
        <f t="shared" si="1"/>
        <v>9305.490119312617</v>
      </c>
      <c r="F44" s="256">
        <f t="shared" si="9"/>
        <v>9305.5</v>
      </c>
      <c r="G44" s="257">
        <f t="shared" si="3"/>
        <v>-3.5398350009927526E-3</v>
      </c>
      <c r="H44" s="257"/>
      <c r="I44" s="213">
        <f>+G44</f>
        <v>-3.5398350009927526E-3</v>
      </c>
      <c r="J44" s="213"/>
      <c r="K44" s="213"/>
      <c r="L44" s="213"/>
      <c r="M44" s="213"/>
      <c r="N44" s="213"/>
      <c r="O44" s="213">
        <f t="shared" ca="1" si="11"/>
        <v>3.5327095065165549E-2</v>
      </c>
      <c r="P44" s="213">
        <f t="shared" si="4"/>
        <v>1.2330760941057011E-2</v>
      </c>
      <c r="Q44" s="246">
        <f t="shared" si="5"/>
        <v>33103.860999999997</v>
      </c>
      <c r="R44" s="211">
        <f t="shared" si="6"/>
        <v>2.5187581555580652E-4</v>
      </c>
      <c r="S44" s="211">
        <v>0.1</v>
      </c>
      <c r="T44" s="211">
        <f t="shared" si="7"/>
        <v>2.5187581555580654E-5</v>
      </c>
      <c r="U44" s="211">
        <f>VLOOKUP(C44,'Active 2'!C$41:E$95,3,FALSE)</f>
        <v>9305.490119312617</v>
      </c>
    </row>
    <row r="45" spans="1:22" s="211" customFormat="1" ht="12.95" customHeight="1">
      <c r="A45" s="211" t="s">
        <v>129</v>
      </c>
      <c r="B45" s="226"/>
      <c r="C45" s="262">
        <v>48336.621099999997</v>
      </c>
      <c r="D45" s="243"/>
      <c r="E45" s="214">
        <f t="shared" si="1"/>
        <v>9903.5510640558696</v>
      </c>
      <c r="F45" s="211">
        <f t="shared" si="9"/>
        <v>9903.5</v>
      </c>
      <c r="G45" s="213">
        <f t="shared" si="3"/>
        <v>1.8294104993401561E-2</v>
      </c>
      <c r="H45" s="213"/>
      <c r="I45" s="213"/>
      <c r="J45" s="213">
        <f>+G45</f>
        <v>1.8294104993401561E-2</v>
      </c>
      <c r="K45" s="213"/>
      <c r="L45" s="213"/>
      <c r="M45" s="213"/>
      <c r="N45" s="213"/>
      <c r="O45" s="213">
        <f t="shared" ca="1" si="11"/>
        <v>3.324249979754447E-2</v>
      </c>
      <c r="P45" s="213">
        <f t="shared" si="4"/>
        <v>1.2839915565332809E-2</v>
      </c>
      <c r="Q45" s="246">
        <f t="shared" si="5"/>
        <v>33318.121099999997</v>
      </c>
      <c r="R45" s="211">
        <f t="shared" si="6"/>
        <v>2.9748182317256944E-5</v>
      </c>
      <c r="S45" s="211">
        <v>1</v>
      </c>
      <c r="T45" s="211">
        <f t="shared" si="7"/>
        <v>2.9748182317256944E-5</v>
      </c>
      <c r="U45" s="211">
        <f>VLOOKUP(C45,'Active 2'!C$41:E$95,3,FALSE)</f>
        <v>9903.5510640558696</v>
      </c>
    </row>
    <row r="46" spans="1:22" s="211" customFormat="1" ht="12.95" customHeight="1">
      <c r="A46" s="260" t="s">
        <v>184</v>
      </c>
      <c r="B46" s="124" t="s">
        <v>41</v>
      </c>
      <c r="C46" s="123">
        <v>48500.337</v>
      </c>
      <c r="D46" s="123">
        <v>1E-4</v>
      </c>
      <c r="E46" s="247">
        <f t="shared" si="1"/>
        <v>10360.528755298867</v>
      </c>
      <c r="F46" s="256">
        <f t="shared" si="9"/>
        <v>10360.5</v>
      </c>
      <c r="G46" s="257">
        <f t="shared" si="3"/>
        <v>1.0301814996637404E-2</v>
      </c>
      <c r="H46" s="257"/>
      <c r="I46" s="213"/>
      <c r="J46" s="213"/>
      <c r="K46" s="213">
        <f>+G46</f>
        <v>1.0301814996637404E-2</v>
      </c>
      <c r="L46" s="213"/>
      <c r="M46" s="213"/>
      <c r="N46" s="213"/>
      <c r="O46" s="213">
        <f t="shared" ca="1" si="11"/>
        <v>3.1649422812088226E-2</v>
      </c>
      <c r="P46" s="213">
        <f t="shared" si="4"/>
        <v>1.3146491050170708E-2</v>
      </c>
      <c r="Q46" s="246">
        <f t="shared" si="5"/>
        <v>33481.837</v>
      </c>
      <c r="R46" s="211">
        <f t="shared" si="6"/>
        <v>8.092181849545811E-6</v>
      </c>
      <c r="S46" s="211">
        <v>1</v>
      </c>
      <c r="T46" s="211">
        <f t="shared" si="7"/>
        <v>8.092181849545811E-6</v>
      </c>
      <c r="U46" s="211">
        <f>VLOOKUP(C46,'Active 2'!C$41:E$95,3,FALSE)</f>
        <v>10360.528755298867</v>
      </c>
    </row>
    <row r="47" spans="1:22" s="211" customFormat="1" ht="12.95" customHeight="1">
      <c r="A47" s="211" t="s">
        <v>130</v>
      </c>
      <c r="B47" s="226"/>
      <c r="C47" s="262">
        <v>51091.429700000001</v>
      </c>
      <c r="D47" s="243"/>
      <c r="E47" s="214">
        <f t="shared" si="1"/>
        <v>17593.006235143908</v>
      </c>
      <c r="F47" s="211">
        <f t="shared" si="9"/>
        <v>17593</v>
      </c>
      <c r="G47" s="213">
        <f t="shared" si="3"/>
        <v>2.2337900009006262E-3</v>
      </c>
      <c r="H47" s="213"/>
      <c r="I47" s="213"/>
      <c r="J47" s="213"/>
      <c r="K47" s="213">
        <f>+G47</f>
        <v>2.2337900009006262E-3</v>
      </c>
      <c r="L47" s="213"/>
      <c r="M47" s="213"/>
      <c r="N47" s="213"/>
      <c r="O47" s="213">
        <f t="shared" ca="1" si="11"/>
        <v>6.4373236932429648E-3</v>
      </c>
      <c r="P47" s="213">
        <f t="shared" si="4"/>
        <v>8.4787982603674109E-3</v>
      </c>
      <c r="Q47" s="246">
        <f t="shared" si="5"/>
        <v>36072.929700000001</v>
      </c>
      <c r="R47" s="211">
        <f t="shared" si="6"/>
        <v>3.9000128160808361E-5</v>
      </c>
      <c r="S47" s="211">
        <v>1</v>
      </c>
      <c r="T47" s="211">
        <f t="shared" si="7"/>
        <v>3.9000128160808361E-5</v>
      </c>
      <c r="U47" s="211">
        <f>VLOOKUP(C47,'Active 2'!C$41:E$95,3,FALSE)</f>
        <v>17593.006235143908</v>
      </c>
    </row>
    <row r="48" spans="1:22" s="211" customFormat="1" ht="12.95" customHeight="1">
      <c r="A48" s="263" t="s">
        <v>298</v>
      </c>
      <c r="B48" s="264" t="s">
        <v>39</v>
      </c>
      <c r="C48" s="265">
        <v>51306.023000000001</v>
      </c>
      <c r="D48" s="266" t="s">
        <v>181</v>
      </c>
      <c r="E48" s="247">
        <f t="shared" si="1"/>
        <v>18191.997235958213</v>
      </c>
      <c r="F48" s="256">
        <f t="shared" si="9"/>
        <v>18192</v>
      </c>
      <c r="G48" s="257">
        <f t="shared" si="3"/>
        <v>-9.902399979182519E-4</v>
      </c>
      <c r="H48" s="213"/>
      <c r="I48" s="213"/>
      <c r="J48" s="213"/>
      <c r="K48" s="213">
        <f>+G48</f>
        <v>-9.902399979182519E-4</v>
      </c>
      <c r="L48" s="213"/>
      <c r="M48" s="213"/>
      <c r="N48" s="213"/>
      <c r="O48" s="213">
        <f t="shared" ca="1" si="11"/>
        <v>4.3492424803583118E-3</v>
      </c>
      <c r="P48" s="213">
        <f t="shared" si="4"/>
        <v>7.2892412676554691E-3</v>
      </c>
      <c r="Q48" s="246">
        <f t="shared" si="5"/>
        <v>36287.523000000001</v>
      </c>
      <c r="R48" s="211">
        <f t="shared" si="6"/>
        <v>6.8549810026986225E-5</v>
      </c>
      <c r="S48" s="211">
        <v>1</v>
      </c>
      <c r="T48" s="211">
        <f t="shared" si="7"/>
        <v>6.8549810026986225E-5</v>
      </c>
      <c r="U48" s="211">
        <f>VLOOKUP(C48,'Active 2'!C$41:E$95,3,FALSE)</f>
        <v>18191.997235958213</v>
      </c>
    </row>
    <row r="49" spans="1:23" s="211" customFormat="1" ht="12.95" customHeight="1">
      <c r="A49" s="263" t="s">
        <v>298</v>
      </c>
      <c r="B49" s="264" t="s">
        <v>39</v>
      </c>
      <c r="C49" s="265">
        <v>51311.042999999998</v>
      </c>
      <c r="D49" s="266" t="s">
        <v>181</v>
      </c>
      <c r="E49" s="247">
        <f t="shared" si="1"/>
        <v>18206.009485287927</v>
      </c>
      <c r="F49" s="256">
        <f t="shared" si="9"/>
        <v>18206</v>
      </c>
      <c r="G49" s="257">
        <f t="shared" si="3"/>
        <v>3.3981800006586127E-3</v>
      </c>
      <c r="H49" s="213"/>
      <c r="I49" s="213"/>
      <c r="J49" s="213"/>
      <c r="K49" s="213">
        <f>+G49</f>
        <v>3.3981800006586127E-3</v>
      </c>
      <c r="L49" s="213"/>
      <c r="M49" s="213"/>
      <c r="N49" s="213"/>
      <c r="O49" s="213">
        <f t="shared" ca="1" si="11"/>
        <v>4.3004392466681751E-3</v>
      </c>
      <c r="P49" s="213">
        <f t="shared" si="4"/>
        <v>7.2599696087272056E-3</v>
      </c>
      <c r="Q49" s="246">
        <f t="shared" si="5"/>
        <v>36292.542999999998</v>
      </c>
      <c r="R49" s="211">
        <f t="shared" si="6"/>
        <v>1.4913418976986576E-5</v>
      </c>
      <c r="S49" s="211">
        <v>1</v>
      </c>
      <c r="T49" s="211">
        <f t="shared" si="7"/>
        <v>1.4913418976986576E-5</v>
      </c>
      <c r="U49" s="211">
        <f>VLOOKUP(C49,'Active 2'!C$41:E$95,3,FALSE)</f>
        <v>18206.009485287927</v>
      </c>
    </row>
    <row r="50" spans="1:23" s="211" customFormat="1" ht="12.95" customHeight="1">
      <c r="A50" s="260" t="s">
        <v>42</v>
      </c>
      <c r="B50" s="124" t="s">
        <v>39</v>
      </c>
      <c r="C50" s="123">
        <v>51314.614999999998</v>
      </c>
      <c r="D50" s="123">
        <v>2E-3</v>
      </c>
      <c r="E50" s="214">
        <f t="shared" si="1"/>
        <v>18215.979954332899</v>
      </c>
      <c r="F50" s="211">
        <f t="shared" si="9"/>
        <v>18216</v>
      </c>
      <c r="G50" s="213">
        <f t="shared" si="3"/>
        <v>-7.1815199989941902E-3</v>
      </c>
      <c r="H50" s="213">
        <f>+G50</f>
        <v>-7.1815199989941902E-3</v>
      </c>
      <c r="I50" s="213"/>
      <c r="J50" s="213"/>
      <c r="K50" s="213"/>
      <c r="L50" s="213"/>
      <c r="M50" s="213"/>
      <c r="N50" s="213"/>
      <c r="O50" s="213">
        <f t="shared" ca="1" si="11"/>
        <v>4.2655797940323731E-3</v>
      </c>
      <c r="P50" s="213">
        <f t="shared" si="4"/>
        <v>7.2390201998310463E-3</v>
      </c>
      <c r="Q50" s="246">
        <f t="shared" si="5"/>
        <v>36296.114999999998</v>
      </c>
      <c r="R50" s="211">
        <f t="shared" si="6"/>
        <v>2.079519796259346E-4</v>
      </c>
      <c r="S50" s="211">
        <v>0.4</v>
      </c>
      <c r="T50" s="211">
        <f t="shared" si="7"/>
        <v>8.3180791850373845E-5</v>
      </c>
      <c r="U50" s="211">
        <f>VLOOKUP(C50,'Active 2'!C$41:E$95,3,FALSE)</f>
        <v>18215.979954332899</v>
      </c>
    </row>
    <row r="51" spans="1:23" s="211" customFormat="1" ht="12.95" customHeight="1">
      <c r="A51" s="263" t="s">
        <v>298</v>
      </c>
      <c r="B51" s="264" t="s">
        <v>39</v>
      </c>
      <c r="C51" s="265">
        <v>51316.063999999998</v>
      </c>
      <c r="D51" s="266" t="s">
        <v>181</v>
      </c>
      <c r="E51" s="214">
        <f t="shared" si="1"/>
        <v>18220.024525902376</v>
      </c>
      <c r="F51" s="211">
        <f t="shared" si="9"/>
        <v>18220</v>
      </c>
      <c r="G51" s="213">
        <f t="shared" si="3"/>
        <v>8.7865999958012253E-3</v>
      </c>
      <c r="H51" s="213"/>
      <c r="I51" s="213"/>
      <c r="J51" s="213"/>
      <c r="K51" s="213">
        <f>+G51</f>
        <v>8.7865999958012253E-3</v>
      </c>
      <c r="L51" s="213"/>
      <c r="M51" s="213"/>
      <c r="N51" s="213"/>
      <c r="O51" s="213">
        <f t="shared" ca="1" si="11"/>
        <v>4.2516360129780523E-3</v>
      </c>
      <c r="P51" s="213">
        <f t="shared" si="4"/>
        <v>7.2306308506848577E-3</v>
      </c>
      <c r="Q51" s="246">
        <f t="shared" si="5"/>
        <v>36297.563999999998</v>
      </c>
      <c r="R51" s="211">
        <f t="shared" si="6"/>
        <v>2.4210399805541598E-6</v>
      </c>
      <c r="S51" s="211">
        <v>1</v>
      </c>
      <c r="T51" s="211">
        <f t="shared" si="7"/>
        <v>2.4210399805541598E-6</v>
      </c>
      <c r="U51" s="211">
        <f>VLOOKUP(C51,'Active 2'!C$41:E$95,3,FALSE)</f>
        <v>18220.024525902376</v>
      </c>
    </row>
    <row r="52" spans="1:23" s="211" customFormat="1" ht="12.95" customHeight="1">
      <c r="A52" s="263" t="s">
        <v>298</v>
      </c>
      <c r="B52" s="264" t="s">
        <v>39</v>
      </c>
      <c r="C52" s="265">
        <v>51331.101000000002</v>
      </c>
      <c r="D52" s="266" t="s">
        <v>181</v>
      </c>
      <c r="E52" s="214">
        <f t="shared" si="1"/>
        <v>18261.997074342831</v>
      </c>
      <c r="F52" s="211">
        <f t="shared" si="9"/>
        <v>18262</v>
      </c>
      <c r="G52" s="213">
        <f t="shared" si="3"/>
        <v>-1.0481400022399612E-3</v>
      </c>
      <c r="H52" s="213"/>
      <c r="I52" s="213"/>
      <c r="J52" s="213"/>
      <c r="K52" s="213">
        <f>+G52</f>
        <v>-1.0481400022399612E-3</v>
      </c>
      <c r="L52" s="213"/>
      <c r="M52" s="213"/>
      <c r="N52" s="213"/>
      <c r="O52" s="213">
        <f t="shared" ca="1" si="11"/>
        <v>4.1052263119076837E-3</v>
      </c>
      <c r="P52" s="213">
        <f t="shared" si="4"/>
        <v>7.142211981873349E-3</v>
      </c>
      <c r="Q52" s="246">
        <f t="shared" si="5"/>
        <v>36312.601000000002</v>
      </c>
      <c r="R52" s="211">
        <f t="shared" si="6"/>
        <v>6.7081865623668831E-5</v>
      </c>
      <c r="S52" s="211">
        <v>1</v>
      </c>
      <c r="T52" s="211">
        <f t="shared" si="7"/>
        <v>6.7081865623668831E-5</v>
      </c>
      <c r="U52" s="211">
        <f>VLOOKUP(C52,'Active 2'!C$41:E$95,3,FALSE)</f>
        <v>18261.997074342831</v>
      </c>
    </row>
    <row r="53" spans="1:23" s="211" customFormat="1" ht="12.95" customHeight="1">
      <c r="A53" s="260" t="s">
        <v>42</v>
      </c>
      <c r="B53" s="124" t="s">
        <v>39</v>
      </c>
      <c r="C53" s="261">
        <v>51338.803819784996</v>
      </c>
      <c r="D53" s="261"/>
      <c r="E53" s="214">
        <f t="shared" ref="E53:E84" si="12">+(C53-C$7)/C$8</f>
        <v>18283.497837563798</v>
      </c>
      <c r="F53" s="211">
        <f t="shared" si="9"/>
        <v>18283.5</v>
      </c>
      <c r="G53" s="213">
        <f t="shared" ref="G53:G84" si="13">+C53-(C$7+F53*C$8)</f>
        <v>-7.7471000258810818E-4</v>
      </c>
      <c r="H53" s="213">
        <f>G53</f>
        <v>-7.7471000258810818E-4</v>
      </c>
      <c r="I53" s="213"/>
      <c r="J53" s="213"/>
      <c r="K53" s="213"/>
      <c r="L53" s="213"/>
      <c r="M53" s="213"/>
      <c r="N53" s="213"/>
      <c r="O53" s="213">
        <f t="shared" ca="1" si="11"/>
        <v>4.0302784887406989E-3</v>
      </c>
      <c r="P53" s="213">
        <f t="shared" ref="P53:P84" si="14">+D$11+D$12*F53+D$13*F53^2</f>
        <v>7.096716250392883E-3</v>
      </c>
      <c r="Q53" s="246">
        <f t="shared" ref="Q53:Q84" si="15">+C53-15018.5</f>
        <v>36320.303819784996</v>
      </c>
      <c r="R53" s="211">
        <f t="shared" ref="R53:R84" si="16">+(P53-G53)^2</f>
        <v>6.195935125611837E-5</v>
      </c>
      <c r="S53" s="211">
        <v>0.1</v>
      </c>
      <c r="T53" s="211">
        <f t="shared" ref="T53:T84" si="17">S53*R53</f>
        <v>6.195935125611837E-6</v>
      </c>
      <c r="U53" s="211">
        <f>VLOOKUP(C53,'Active 2'!C$41:E$95,3,FALSE)</f>
        <v>18283.497837563798</v>
      </c>
    </row>
    <row r="54" spans="1:23" s="211" customFormat="1" ht="12.95" customHeight="1">
      <c r="A54" s="260" t="s">
        <v>42</v>
      </c>
      <c r="B54" s="124" t="s">
        <v>39</v>
      </c>
      <c r="C54" s="123">
        <v>51615.201000000001</v>
      </c>
      <c r="D54" s="123">
        <v>2E-3</v>
      </c>
      <c r="E54" s="214">
        <f t="shared" si="12"/>
        <v>19055.001065293818</v>
      </c>
      <c r="F54" s="211">
        <f t="shared" si="9"/>
        <v>19055</v>
      </c>
      <c r="G54" s="213">
        <f t="shared" si="13"/>
        <v>3.8165000296430662E-4</v>
      </c>
      <c r="H54" s="213">
        <f>+G54</f>
        <v>3.8165000296430662E-4</v>
      </c>
      <c r="I54" s="213"/>
      <c r="J54" s="213"/>
      <c r="K54" s="213"/>
      <c r="L54" s="213"/>
      <c r="M54" s="213"/>
      <c r="N54" s="213"/>
      <c r="O54" s="213">
        <f t="shared" ca="1" si="11"/>
        <v>1.3408717178884227E-3</v>
      </c>
      <c r="P54" s="213">
        <f t="shared" si="14"/>
        <v>5.3594376581129546E-3</v>
      </c>
      <c r="Q54" s="246">
        <f t="shared" si="15"/>
        <v>36596.701000000001</v>
      </c>
      <c r="R54" s="211">
        <f t="shared" si="16"/>
        <v>2.4778369939750276E-5</v>
      </c>
      <c r="S54" s="211">
        <v>0.4</v>
      </c>
      <c r="T54" s="211">
        <f t="shared" si="17"/>
        <v>9.9113479759001109E-6</v>
      </c>
      <c r="U54" s="211">
        <f>VLOOKUP(C54,'Active 2'!C$41:E$95,3,FALSE)</f>
        <v>19055.001065293818</v>
      </c>
    </row>
    <row r="55" spans="1:23" s="211" customFormat="1" ht="12.95" customHeight="1">
      <c r="A55" s="260" t="s">
        <v>38</v>
      </c>
      <c r="B55" s="124" t="s">
        <v>39</v>
      </c>
      <c r="C55" s="261">
        <v>52016.981609549999</v>
      </c>
      <c r="D55" s="261"/>
      <c r="E55" s="214">
        <f t="shared" si="12"/>
        <v>20176.48514435003</v>
      </c>
      <c r="F55" s="211">
        <f t="shared" si="9"/>
        <v>20176.5</v>
      </c>
      <c r="G55" s="213">
        <f t="shared" si="13"/>
        <v>-5.322155004250817E-3</v>
      </c>
      <c r="H55" s="213"/>
      <c r="I55" s="213"/>
      <c r="J55" s="213"/>
      <c r="K55" s="213">
        <f>G55</f>
        <v>-5.322155004250817E-3</v>
      </c>
      <c r="L55" s="213"/>
      <c r="M55" s="213"/>
      <c r="N55" s="213"/>
      <c r="O55" s="213">
        <f t="shared" ca="1" si="11"/>
        <v>-2.5686158952170079E-3</v>
      </c>
      <c r="P55" s="213">
        <f t="shared" si="14"/>
        <v>2.4706259178303019E-3</v>
      </c>
      <c r="Q55" s="246">
        <f t="shared" si="15"/>
        <v>36998.481609549999</v>
      </c>
      <c r="R55" s="211">
        <f t="shared" si="16"/>
        <v>6.0727434499551454E-5</v>
      </c>
      <c r="S55" s="211">
        <v>0.1</v>
      </c>
      <c r="T55" s="211">
        <f t="shared" si="17"/>
        <v>6.0727434499551455E-6</v>
      </c>
      <c r="U55" s="211">
        <f>VLOOKUP(C55,'Active 2'!C$41:E$95,3,FALSE)</f>
        <v>20176.48514435003</v>
      </c>
    </row>
    <row r="56" spans="1:23" s="211" customFormat="1" ht="12.95" customHeight="1">
      <c r="A56" s="260" t="s">
        <v>38</v>
      </c>
      <c r="B56" s="124" t="s">
        <v>39</v>
      </c>
      <c r="C56" s="123">
        <v>52034.711000000003</v>
      </c>
      <c r="D56" s="123">
        <v>3.0000000000000001E-3</v>
      </c>
      <c r="E56" s="214">
        <f t="shared" si="12"/>
        <v>20225.972921132787</v>
      </c>
      <c r="F56" s="211">
        <f t="shared" si="9"/>
        <v>20226</v>
      </c>
      <c r="G56" s="213">
        <f t="shared" si="13"/>
        <v>-9.7012199985329062E-3</v>
      </c>
      <c r="H56" s="213"/>
      <c r="I56" s="213"/>
      <c r="J56" s="213"/>
      <c r="K56" s="213">
        <f>+G56</f>
        <v>-9.7012199985329062E-3</v>
      </c>
      <c r="L56" s="213"/>
      <c r="M56" s="213"/>
      <c r="N56" s="213"/>
      <c r="O56" s="213">
        <f t="shared" ca="1" si="11"/>
        <v>-2.7411701857642246E-3</v>
      </c>
      <c r="P56" s="213">
        <f t="shared" si="14"/>
        <v>2.333199667345312E-3</v>
      </c>
      <c r="Q56" s="246">
        <f t="shared" si="15"/>
        <v>37016.211000000003</v>
      </c>
      <c r="R56" s="211">
        <f t="shared" si="16"/>
        <v>1.448272566944764E-4</v>
      </c>
      <c r="S56" s="211">
        <v>0.4</v>
      </c>
      <c r="T56" s="211">
        <f t="shared" si="17"/>
        <v>5.7930902677790564E-5</v>
      </c>
      <c r="U56" s="211">
        <f>VLOOKUP(C56,'Active 2'!C$41:E$95,3,FALSE)</f>
        <v>20225.972921132787</v>
      </c>
    </row>
    <row r="57" spans="1:23" s="211" customFormat="1" ht="12.95" customHeight="1">
      <c r="A57" s="260" t="s">
        <v>38</v>
      </c>
      <c r="B57" s="124" t="s">
        <v>39</v>
      </c>
      <c r="C57" s="123">
        <v>52475.012000000002</v>
      </c>
      <c r="D57" s="123">
        <v>2E-3</v>
      </c>
      <c r="E57" s="214">
        <f t="shared" si="12"/>
        <v>21454.978377731561</v>
      </c>
      <c r="F57" s="211">
        <f t="shared" si="9"/>
        <v>21455</v>
      </c>
      <c r="G57" s="213">
        <f t="shared" si="13"/>
        <v>-7.7463499983423389E-3</v>
      </c>
      <c r="H57" s="213"/>
      <c r="I57" s="213"/>
      <c r="J57" s="213"/>
      <c r="K57" s="213">
        <f>+G57</f>
        <v>-7.7463499983423389E-3</v>
      </c>
      <c r="L57" s="213"/>
      <c r="M57" s="213"/>
      <c r="N57" s="213"/>
      <c r="O57" s="213">
        <f t="shared" ca="1" si="11"/>
        <v>-7.0253969147045514E-3</v>
      </c>
      <c r="P57" s="213">
        <f t="shared" si="14"/>
        <v>-1.3478154465149383E-3</v>
      </c>
      <c r="Q57" s="246">
        <f t="shared" si="15"/>
        <v>37456.512000000002</v>
      </c>
      <c r="R57" s="211">
        <f t="shared" si="16"/>
        <v>4.0941244410929077E-5</v>
      </c>
      <c r="S57" s="211">
        <v>0.4</v>
      </c>
      <c r="T57" s="211">
        <f t="shared" si="17"/>
        <v>1.6376497764371632E-5</v>
      </c>
      <c r="U57" s="211">
        <f>VLOOKUP(C57,'Active 2'!C$41:E$95,3,FALSE)</f>
        <v>21454.978377731561</v>
      </c>
    </row>
    <row r="58" spans="1:23" s="211" customFormat="1" ht="12.95" customHeight="1">
      <c r="A58" s="260" t="s">
        <v>124</v>
      </c>
      <c r="B58" s="124" t="s">
        <v>39</v>
      </c>
      <c r="C58" s="123">
        <v>52725.434500000003</v>
      </c>
      <c r="D58" s="123">
        <v>1E-4</v>
      </c>
      <c r="E58" s="214">
        <f t="shared" si="12"/>
        <v>22153.978877287787</v>
      </c>
      <c r="F58" s="211">
        <f t="shared" si="9"/>
        <v>22154</v>
      </c>
      <c r="G58" s="213">
        <f t="shared" si="13"/>
        <v>-7.5673799947253428E-3</v>
      </c>
      <c r="H58" s="213"/>
      <c r="I58" s="213"/>
      <c r="J58" s="213"/>
      <c r="K58" s="213">
        <f t="shared" ref="K58:K64" si="18">G58</f>
        <v>-7.5673799947253428E-3</v>
      </c>
      <c r="L58" s="213"/>
      <c r="M58" s="213"/>
      <c r="N58" s="213"/>
      <c r="O58" s="213">
        <f t="shared" ca="1" si="11"/>
        <v>-9.4620726539472455E-3</v>
      </c>
      <c r="P58" s="213">
        <f t="shared" si="14"/>
        <v>-3.6720941581859096E-3</v>
      </c>
      <c r="Q58" s="246">
        <f t="shared" si="15"/>
        <v>37706.934500000003</v>
      </c>
      <c r="R58" s="211">
        <f t="shared" si="16"/>
        <v>1.5173251748344712E-5</v>
      </c>
      <c r="S58" s="211">
        <v>1</v>
      </c>
      <c r="T58" s="211">
        <f t="shared" si="17"/>
        <v>1.5173251748344712E-5</v>
      </c>
      <c r="U58" s="211">
        <f>VLOOKUP(C58,'Active 2'!C$41:E$95,3,FALSE)</f>
        <v>22153.978877287787</v>
      </c>
    </row>
    <row r="59" spans="1:23" s="211" customFormat="1" ht="12.95" customHeight="1">
      <c r="A59" s="260" t="s">
        <v>124</v>
      </c>
      <c r="B59" s="124" t="s">
        <v>41</v>
      </c>
      <c r="C59" s="123">
        <v>52725.613499999999</v>
      </c>
      <c r="D59" s="123">
        <v>2.0000000000000001E-4</v>
      </c>
      <c r="E59" s="214">
        <f t="shared" si="12"/>
        <v>22154.47851725392</v>
      </c>
      <c r="F59" s="211">
        <f t="shared" si="9"/>
        <v>22154.5</v>
      </c>
      <c r="G59" s="213">
        <f t="shared" si="13"/>
        <v>-7.6963649989920668E-3</v>
      </c>
      <c r="H59" s="213"/>
      <c r="I59" s="213"/>
      <c r="J59" s="213"/>
      <c r="K59" s="213">
        <f t="shared" si="18"/>
        <v>-7.6963649989920668E-3</v>
      </c>
      <c r="L59" s="213"/>
      <c r="M59" s="213"/>
      <c r="N59" s="213"/>
      <c r="O59" s="213">
        <f t="shared" ca="1" si="11"/>
        <v>-9.4638156265790391E-3</v>
      </c>
      <c r="P59" s="213">
        <f t="shared" si="14"/>
        <v>-3.6738165995021388E-3</v>
      </c>
      <c r="Q59" s="246">
        <f t="shared" si="15"/>
        <v>37707.113499999999</v>
      </c>
      <c r="R59" s="211">
        <f t="shared" si="16"/>
        <v>1.6180895626238982E-5</v>
      </c>
      <c r="S59" s="211">
        <v>1</v>
      </c>
      <c r="T59" s="211">
        <f t="shared" si="17"/>
        <v>1.6180895626238982E-5</v>
      </c>
      <c r="U59" s="211">
        <f>VLOOKUP(C59,'Active 2'!C$41:E$95,3,FALSE)</f>
        <v>22154.47851725392</v>
      </c>
    </row>
    <row r="60" spans="1:23" s="211" customFormat="1" ht="12.95" customHeight="1">
      <c r="A60" s="260" t="s">
        <v>124</v>
      </c>
      <c r="B60" s="124" t="s">
        <v>39</v>
      </c>
      <c r="C60" s="123">
        <v>52726.509700000002</v>
      </c>
      <c r="D60" s="123">
        <v>1E-4</v>
      </c>
      <c r="E60" s="214">
        <f t="shared" si="12"/>
        <v>22156.980066626296</v>
      </c>
      <c r="F60" s="211">
        <f t="shared" si="9"/>
        <v>22157</v>
      </c>
      <c r="G60" s="213">
        <f t="shared" si="13"/>
        <v>-7.1412899997085333E-3</v>
      </c>
      <c r="H60" s="213"/>
      <c r="I60" s="213"/>
      <c r="J60" s="213"/>
      <c r="K60" s="213">
        <f t="shared" si="18"/>
        <v>-7.1412899997085333E-3</v>
      </c>
      <c r="L60" s="213"/>
      <c r="M60" s="213"/>
      <c r="N60" s="213"/>
      <c r="O60" s="213">
        <f t="shared" ca="1" si="11"/>
        <v>-9.4725304897379931E-3</v>
      </c>
      <c r="P60" s="213">
        <f t="shared" si="14"/>
        <v>-3.6824300898673501E-3</v>
      </c>
      <c r="Q60" s="246">
        <f t="shared" si="15"/>
        <v>37708.009700000002</v>
      </c>
      <c r="R60" s="211">
        <f t="shared" si="16"/>
        <v>1.1963711875906558E-5</v>
      </c>
      <c r="S60" s="211">
        <v>1</v>
      </c>
      <c r="T60" s="211">
        <f t="shared" si="17"/>
        <v>1.1963711875906558E-5</v>
      </c>
      <c r="U60" s="211">
        <f>VLOOKUP(C60,'Active 2'!C$41:E$95,3,FALSE)</f>
        <v>22156.980066626296</v>
      </c>
    </row>
    <row r="61" spans="1:23" s="211" customFormat="1" ht="12.95" customHeight="1">
      <c r="A61" s="260" t="s">
        <v>124</v>
      </c>
      <c r="B61" s="124" t="s">
        <v>41</v>
      </c>
      <c r="C61" s="123">
        <v>52727.404699999999</v>
      </c>
      <c r="D61" s="123"/>
      <c r="E61" s="214">
        <f t="shared" si="12"/>
        <v>22159.478266456983</v>
      </c>
      <c r="F61" s="211">
        <f t="shared" si="9"/>
        <v>22159.5</v>
      </c>
      <c r="G61" s="213">
        <f t="shared" si="13"/>
        <v>-7.7862149992142804E-3</v>
      </c>
      <c r="H61" s="213"/>
      <c r="I61" s="213"/>
      <c r="J61" s="213"/>
      <c r="K61" s="213">
        <f t="shared" si="18"/>
        <v>-7.7862149992142804E-3</v>
      </c>
      <c r="L61" s="213"/>
      <c r="M61" s="213"/>
      <c r="N61" s="213"/>
      <c r="O61" s="213">
        <f t="shared" ca="1" si="11"/>
        <v>-9.4812453528969332E-3</v>
      </c>
      <c r="P61" s="213">
        <f t="shared" si="14"/>
        <v>-3.6910457198726793E-3</v>
      </c>
      <c r="Q61" s="246">
        <f t="shared" si="15"/>
        <v>37708.904699999999</v>
      </c>
      <c r="R61" s="211">
        <f t="shared" si="16"/>
        <v>1.6770411426463208E-5</v>
      </c>
      <c r="S61" s="211">
        <v>1</v>
      </c>
      <c r="T61" s="211">
        <f t="shared" si="17"/>
        <v>1.6770411426463208E-5</v>
      </c>
      <c r="U61" s="211">
        <f>VLOOKUP(C61,'Active 2'!C$41:E$95,3,FALSE)</f>
        <v>22159.478266456983</v>
      </c>
    </row>
    <row r="62" spans="1:23" s="211" customFormat="1" ht="12.95" customHeight="1">
      <c r="A62" s="260" t="s">
        <v>124</v>
      </c>
      <c r="B62" s="124" t="s">
        <v>41</v>
      </c>
      <c r="C62" s="123">
        <v>52727.404999999999</v>
      </c>
      <c r="D62" s="123">
        <v>2.0000000000000001E-4</v>
      </c>
      <c r="E62" s="214">
        <f t="shared" si="12"/>
        <v>22159.479103842401</v>
      </c>
      <c r="F62" s="211">
        <f t="shared" si="9"/>
        <v>22159.5</v>
      </c>
      <c r="G62" s="213">
        <f t="shared" si="13"/>
        <v>-7.4862149995169602E-3</v>
      </c>
      <c r="H62" s="213"/>
      <c r="I62" s="213"/>
      <c r="J62" s="213"/>
      <c r="K62" s="213">
        <f t="shared" si="18"/>
        <v>-7.4862149995169602E-3</v>
      </c>
      <c r="L62" s="213"/>
      <c r="M62" s="213"/>
      <c r="N62" s="213"/>
      <c r="O62" s="213">
        <f t="shared" ca="1" si="11"/>
        <v>-9.4812453528969332E-3</v>
      </c>
      <c r="P62" s="213">
        <f t="shared" si="14"/>
        <v>-3.6910457198726793E-3</v>
      </c>
      <c r="Q62" s="246">
        <f t="shared" si="15"/>
        <v>37708.904999999999</v>
      </c>
      <c r="R62" s="211">
        <f t="shared" si="16"/>
        <v>1.4403309861155691E-5</v>
      </c>
      <c r="S62" s="211">
        <v>1</v>
      </c>
      <c r="T62" s="211">
        <f t="shared" si="17"/>
        <v>1.4403309861155691E-5</v>
      </c>
      <c r="U62" s="211">
        <f>VLOOKUP(C62,'Active 2'!C$41:E$95,3,FALSE)</f>
        <v>22159.479103842401</v>
      </c>
    </row>
    <row r="63" spans="1:23" s="211" customFormat="1" ht="12.95" customHeight="1">
      <c r="A63" s="260" t="s">
        <v>124</v>
      </c>
      <c r="B63" s="124" t="s">
        <v>39</v>
      </c>
      <c r="C63" s="123">
        <v>52727.584699999999</v>
      </c>
      <c r="D63" s="123">
        <v>2.9999999999999997E-4</v>
      </c>
      <c r="E63" s="214">
        <f t="shared" si="12"/>
        <v>22159.980697707852</v>
      </c>
      <c r="F63" s="211">
        <f t="shared" si="9"/>
        <v>22160</v>
      </c>
      <c r="G63" s="213">
        <f t="shared" si="13"/>
        <v>-6.9151999996392988E-3</v>
      </c>
      <c r="H63" s="213"/>
      <c r="I63" s="213"/>
      <c r="J63" s="213"/>
      <c r="K63" s="213">
        <f t="shared" si="18"/>
        <v>-6.9151999996392988E-3</v>
      </c>
      <c r="L63" s="213"/>
      <c r="M63" s="213"/>
      <c r="N63" s="213"/>
      <c r="O63" s="213">
        <f t="shared" ca="1" si="11"/>
        <v>-9.4829883255287267E-3</v>
      </c>
      <c r="P63" s="213">
        <f t="shared" si="14"/>
        <v>-3.6927691026305554E-3</v>
      </c>
      <c r="Q63" s="246">
        <f t="shared" si="15"/>
        <v>37709.084699999999</v>
      </c>
      <c r="R63" s="211">
        <f t="shared" si="16"/>
        <v>1.0384060885996575E-5</v>
      </c>
      <c r="S63" s="211">
        <v>1</v>
      </c>
      <c r="T63" s="211">
        <f t="shared" si="17"/>
        <v>1.0384060885996575E-5</v>
      </c>
      <c r="U63" s="211">
        <f>VLOOKUP(C63,'Active 2'!C$41:E$95,3,FALSE)</f>
        <v>22159.980697707852</v>
      </c>
      <c r="W63" s="211" t="s">
        <v>158</v>
      </c>
    </row>
    <row r="64" spans="1:23" s="211" customFormat="1" ht="12.95" customHeight="1">
      <c r="A64" s="260" t="s">
        <v>124</v>
      </c>
      <c r="B64" s="124" t="s">
        <v>41</v>
      </c>
      <c r="C64" s="123">
        <v>52730.630400000002</v>
      </c>
      <c r="D64" s="123">
        <v>4.0000000000000002E-4</v>
      </c>
      <c r="E64" s="214">
        <f t="shared" si="12"/>
        <v>22168.482113600992</v>
      </c>
      <c r="F64" s="211">
        <f t="shared" si="9"/>
        <v>22168.5</v>
      </c>
      <c r="G64" s="213">
        <f t="shared" si="13"/>
        <v>-6.407945002138149E-3</v>
      </c>
      <c r="H64" s="213"/>
      <c r="I64" s="213"/>
      <c r="J64" s="213"/>
      <c r="K64" s="213">
        <f t="shared" si="18"/>
        <v>-6.407945002138149E-3</v>
      </c>
      <c r="L64" s="213"/>
      <c r="M64" s="213"/>
      <c r="N64" s="213"/>
      <c r="O64" s="213">
        <f t="shared" ca="1" si="11"/>
        <v>-9.5126188602691619E-3</v>
      </c>
      <c r="P64" s="213">
        <f t="shared" si="14"/>
        <v>-3.7220797041120357E-3</v>
      </c>
      <c r="Q64" s="246">
        <f t="shared" si="15"/>
        <v>37712.130400000002</v>
      </c>
      <c r="R64" s="211">
        <f t="shared" si="16"/>
        <v>7.2138723991409023E-6</v>
      </c>
      <c r="S64" s="211">
        <v>1</v>
      </c>
      <c r="T64" s="211">
        <f t="shared" si="17"/>
        <v>7.2138723991409023E-6</v>
      </c>
      <c r="U64" s="211">
        <f>VLOOKUP(C64,'Active 2'!C$41:E$95,3,FALSE)</f>
        <v>22168.482113600992</v>
      </c>
      <c r="W64" s="211" t="s">
        <v>158</v>
      </c>
    </row>
    <row r="65" spans="1:21" s="211" customFormat="1" ht="12.95" customHeight="1">
      <c r="A65" s="263" t="s">
        <v>312</v>
      </c>
      <c r="B65" s="264" t="s">
        <v>39</v>
      </c>
      <c r="C65" s="265">
        <v>52761.080600000001</v>
      </c>
      <c r="D65" s="266" t="s">
        <v>181</v>
      </c>
      <c r="E65" s="214">
        <f t="shared" si="12"/>
        <v>22253.477291796189</v>
      </c>
      <c r="F65" s="211">
        <f t="shared" si="9"/>
        <v>22253.5</v>
      </c>
      <c r="G65" s="213">
        <f t="shared" si="13"/>
        <v>-8.1353950008633547E-3</v>
      </c>
      <c r="H65" s="213"/>
      <c r="I65" s="213"/>
      <c r="J65" s="213"/>
      <c r="K65" s="213">
        <f>+G65</f>
        <v>-8.1353950008633547E-3</v>
      </c>
      <c r="L65" s="213"/>
      <c r="M65" s="213"/>
      <c r="N65" s="213"/>
      <c r="O65" s="213">
        <f t="shared" ca="1" si="11"/>
        <v>-9.8089242076735E-3</v>
      </c>
      <c r="P65" s="213">
        <f t="shared" si="14"/>
        <v>-4.0165461021134108E-3</v>
      </c>
      <c r="Q65" s="246">
        <f t="shared" si="15"/>
        <v>37742.580600000001</v>
      </c>
      <c r="R65" s="211">
        <f t="shared" si="16"/>
        <v>1.6964916250733626E-5</v>
      </c>
      <c r="S65" s="211">
        <v>1</v>
      </c>
      <c r="T65" s="211">
        <f t="shared" si="17"/>
        <v>1.6964916250733626E-5</v>
      </c>
      <c r="U65" s="211">
        <f>VLOOKUP(C65,'Active 2'!C$41:E$95,3,FALSE)</f>
        <v>22253.477291796189</v>
      </c>
    </row>
    <row r="66" spans="1:21" s="211" customFormat="1" ht="12.95" customHeight="1">
      <c r="A66" s="263" t="s">
        <v>312</v>
      </c>
      <c r="B66" s="264" t="s">
        <v>41</v>
      </c>
      <c r="C66" s="265">
        <v>52763.05</v>
      </c>
      <c r="D66" s="266" t="s">
        <v>181</v>
      </c>
      <c r="E66" s="214">
        <f t="shared" si="12"/>
        <v>22258.97444793762</v>
      </c>
      <c r="F66" s="211">
        <f t="shared" ref="F66:F97" si="19">ROUND(2*E66,0)/2</f>
        <v>22259</v>
      </c>
      <c r="G66" s="213">
        <f t="shared" si="13"/>
        <v>-9.1542299996945076E-3</v>
      </c>
      <c r="H66" s="213"/>
      <c r="I66" s="213"/>
      <c r="J66" s="213"/>
      <c r="K66" s="213">
        <f>+G66</f>
        <v>-9.1542299996945076E-3</v>
      </c>
      <c r="L66" s="213"/>
      <c r="M66" s="213"/>
      <c r="N66" s="213"/>
      <c r="O66" s="213">
        <f t="shared" ref="O66:O97" ca="1" si="20">+C$11+C$12*F66</f>
        <v>-9.8280969066231877E-3</v>
      </c>
      <c r="P66" s="213">
        <f t="shared" si="14"/>
        <v>-4.0356850106888498E-3</v>
      </c>
      <c r="Q66" s="246">
        <f t="shared" si="15"/>
        <v>37744.550000000003</v>
      </c>
      <c r="R66" s="211">
        <f t="shared" si="16"/>
        <v>2.619950280447493E-5</v>
      </c>
      <c r="S66" s="211">
        <v>1</v>
      </c>
      <c r="T66" s="211">
        <f t="shared" si="17"/>
        <v>2.619950280447493E-5</v>
      </c>
      <c r="U66" s="211">
        <f>VLOOKUP(C66,'Active 2'!C$41:E$95,3,FALSE)</f>
        <v>22258.97444793762</v>
      </c>
    </row>
    <row r="67" spans="1:21" s="211" customFormat="1" ht="12.95" customHeight="1">
      <c r="A67" s="260" t="s">
        <v>38</v>
      </c>
      <c r="B67" s="124" t="s">
        <v>39</v>
      </c>
      <c r="C67" s="123">
        <v>52773.798999999999</v>
      </c>
      <c r="D67" s="123">
        <v>2E-3</v>
      </c>
      <c r="E67" s="214">
        <f t="shared" si="12"/>
        <v>22288.97796746852</v>
      </c>
      <c r="F67" s="211">
        <f t="shared" si="19"/>
        <v>22289</v>
      </c>
      <c r="G67" s="213">
        <f t="shared" si="13"/>
        <v>-7.893330002843868E-3</v>
      </c>
      <c r="H67" s="213"/>
      <c r="I67" s="213"/>
      <c r="J67" s="213"/>
      <c r="K67" s="213">
        <f>+G67</f>
        <v>-7.893330002843868E-3</v>
      </c>
      <c r="L67" s="213"/>
      <c r="M67" s="213"/>
      <c r="N67" s="213"/>
      <c r="O67" s="213">
        <f t="shared" ca="1" si="20"/>
        <v>-9.9326752645306077E-3</v>
      </c>
      <c r="P67" s="213">
        <f t="shared" si="14"/>
        <v>-4.1402613548019856E-3</v>
      </c>
      <c r="Q67" s="246">
        <f t="shared" si="15"/>
        <v>37755.298999999999</v>
      </c>
      <c r="R67" s="211">
        <f t="shared" si="16"/>
        <v>1.4085524276914923E-5</v>
      </c>
      <c r="S67" s="211">
        <v>0.4</v>
      </c>
      <c r="T67" s="211">
        <f t="shared" si="17"/>
        <v>5.6342097107659694E-6</v>
      </c>
      <c r="U67" s="211">
        <f>VLOOKUP(C67,'Active 2'!C$41:E$95,3,FALSE)</f>
        <v>22288.97796746852</v>
      </c>
    </row>
    <row r="68" spans="1:21" s="211" customFormat="1" ht="12.95" customHeight="1">
      <c r="A68" s="260" t="s">
        <v>38</v>
      </c>
      <c r="B68" s="124" t="s">
        <v>39</v>
      </c>
      <c r="C68" s="123">
        <v>53132.762999999999</v>
      </c>
      <c r="D68" s="123">
        <v>3.0000000000000001E-3</v>
      </c>
      <c r="E68" s="214">
        <f t="shared" si="12"/>
        <v>23290.948698224351</v>
      </c>
      <c r="F68" s="211">
        <f t="shared" si="19"/>
        <v>23291</v>
      </c>
      <c r="G68" s="213">
        <f t="shared" si="13"/>
        <v>-1.8379270004516002E-2</v>
      </c>
      <c r="H68" s="213"/>
      <c r="I68" s="213"/>
      <c r="J68" s="213"/>
      <c r="K68" s="213">
        <f>+G68</f>
        <v>-1.8379270004516002E-2</v>
      </c>
      <c r="L68" s="213"/>
      <c r="M68" s="213"/>
      <c r="N68" s="213"/>
      <c r="O68" s="213">
        <f t="shared" ca="1" si="20"/>
        <v>-1.3425592418638166E-2</v>
      </c>
      <c r="P68" s="213">
        <f t="shared" si="14"/>
        <v>-7.8101132336459433E-3</v>
      </c>
      <c r="Q68" s="246">
        <f t="shared" si="15"/>
        <v>38114.262999999999</v>
      </c>
      <c r="R68" s="211">
        <f t="shared" si="16"/>
        <v>1.117070748472284E-4</v>
      </c>
      <c r="S68" s="211">
        <v>0.4</v>
      </c>
      <c r="T68" s="211">
        <f t="shared" si="17"/>
        <v>4.4682829938891364E-5</v>
      </c>
      <c r="U68" s="211">
        <f>VLOOKUP(C68,'Active 2'!C$41:E$95,3,FALSE)</f>
        <v>23290.948698224351</v>
      </c>
    </row>
    <row r="69" spans="1:21" s="211" customFormat="1" ht="12.95" customHeight="1">
      <c r="A69" s="260" t="s">
        <v>157</v>
      </c>
      <c r="B69" s="124" t="s">
        <v>39</v>
      </c>
      <c r="C69" s="123">
        <v>53189.010199999997</v>
      </c>
      <c r="D69" s="123"/>
      <c r="E69" s="267">
        <f t="shared" si="12"/>
        <v>23447.950648522896</v>
      </c>
      <c r="F69" s="222">
        <f t="shared" si="19"/>
        <v>23448</v>
      </c>
      <c r="G69" s="268">
        <f t="shared" si="13"/>
        <v>-1.7680560005828738E-2</v>
      </c>
      <c r="H69" s="213"/>
      <c r="I69" s="213"/>
      <c r="J69" s="213"/>
      <c r="K69" s="213">
        <f>G69</f>
        <v>-1.7680560005828738E-2</v>
      </c>
      <c r="L69" s="213"/>
      <c r="M69" s="213"/>
      <c r="N69" s="213"/>
      <c r="O69" s="213">
        <f t="shared" ca="1" si="20"/>
        <v>-1.3972885825020293E-2</v>
      </c>
      <c r="P69" s="213">
        <f t="shared" si="14"/>
        <v>-8.4162767719752479E-3</v>
      </c>
      <c r="Q69" s="246">
        <f t="shared" si="15"/>
        <v>38170.510199999997</v>
      </c>
      <c r="R69" s="211">
        <f t="shared" si="16"/>
        <v>8.5826943837058884E-5</v>
      </c>
      <c r="S69" s="211">
        <v>1</v>
      </c>
      <c r="T69" s="211">
        <f t="shared" si="17"/>
        <v>8.5826943837058884E-5</v>
      </c>
      <c r="U69" s="211">
        <f>VLOOKUP(C69,'Active 2'!C$41:E$95,3,FALSE)</f>
        <v>23447.950648522896</v>
      </c>
    </row>
    <row r="70" spans="1:21" s="211" customFormat="1" ht="12.95" customHeight="1">
      <c r="A70" s="260" t="s">
        <v>157</v>
      </c>
      <c r="B70" s="124"/>
      <c r="C70" s="123">
        <v>53190.977599999998</v>
      </c>
      <c r="D70" s="123"/>
      <c r="E70" s="267">
        <f t="shared" si="12"/>
        <v>23453.442222094873</v>
      </c>
      <c r="F70" s="222">
        <f t="shared" si="19"/>
        <v>23453.5</v>
      </c>
      <c r="G70" s="268">
        <f t="shared" si="13"/>
        <v>-2.0699395005067345E-2</v>
      </c>
      <c r="H70" s="213"/>
      <c r="I70" s="213"/>
      <c r="J70" s="213"/>
      <c r="K70" s="213">
        <f>G70</f>
        <v>-2.0699395005067345E-2</v>
      </c>
      <c r="L70" s="213"/>
      <c r="M70" s="213"/>
      <c r="N70" s="213"/>
      <c r="O70" s="213">
        <f t="shared" ca="1" si="20"/>
        <v>-1.399205852396998E-2</v>
      </c>
      <c r="P70" s="213">
        <f t="shared" si="14"/>
        <v>-8.4376647846564484E-3</v>
      </c>
      <c r="Q70" s="246">
        <f t="shared" si="15"/>
        <v>38172.477599999998</v>
      </c>
      <c r="R70" s="211">
        <f t="shared" si="16"/>
        <v>1.5035002799813785E-4</v>
      </c>
      <c r="S70" s="211">
        <v>1</v>
      </c>
      <c r="T70" s="211">
        <f t="shared" si="17"/>
        <v>1.5035002799813785E-4</v>
      </c>
      <c r="U70" s="211">
        <f>VLOOKUP(C70,'Active 2'!C$41:E$95,3,FALSE)</f>
        <v>23453.442222094873</v>
      </c>
    </row>
    <row r="71" spans="1:21" s="211" customFormat="1" ht="12.95" customHeight="1">
      <c r="A71" s="260" t="s">
        <v>124</v>
      </c>
      <c r="B71" s="124" t="s">
        <v>41</v>
      </c>
      <c r="C71" s="123">
        <v>53438.895199999999</v>
      </c>
      <c r="D71" s="123">
        <v>2.9999999999999997E-4</v>
      </c>
      <c r="E71" s="214">
        <f t="shared" si="12"/>
        <v>24145.450832538347</v>
      </c>
      <c r="F71" s="211">
        <f t="shared" si="19"/>
        <v>24145.5</v>
      </c>
      <c r="G71" s="213">
        <f t="shared" si="13"/>
        <v>-1.7614634998608381E-2</v>
      </c>
      <c r="H71" s="213"/>
      <c r="I71" s="213"/>
      <c r="J71" s="213"/>
      <c r="K71" s="213">
        <f>G71</f>
        <v>-1.7614634998608381E-2</v>
      </c>
      <c r="L71" s="213"/>
      <c r="M71" s="213"/>
      <c r="N71" s="213"/>
      <c r="O71" s="213">
        <f t="shared" ca="1" si="20"/>
        <v>-1.640433264636762E-2</v>
      </c>
      <c r="P71" s="213">
        <f t="shared" si="14"/>
        <v>-1.1211284860544818E-2</v>
      </c>
      <c r="Q71" s="246">
        <f t="shared" si="15"/>
        <v>38420.395199999999</v>
      </c>
      <c r="R71" s="211">
        <f t="shared" si="16"/>
        <v>4.1002892990638647E-5</v>
      </c>
      <c r="S71" s="211">
        <v>1</v>
      </c>
      <c r="T71" s="211">
        <f t="shared" si="17"/>
        <v>4.1002892990638647E-5</v>
      </c>
      <c r="U71" s="211">
        <f>VLOOKUP(C71,'Active 2'!C$41:E$95,3,FALSE)</f>
        <v>24145.450832538347</v>
      </c>
    </row>
    <row r="72" spans="1:21" s="211" customFormat="1" ht="12.95" customHeight="1">
      <c r="A72" s="260" t="s">
        <v>47</v>
      </c>
      <c r="B72" s="269" t="s">
        <v>39</v>
      </c>
      <c r="C72" s="270">
        <v>53450.538699999997</v>
      </c>
      <c r="D72" s="270">
        <v>4.0000000000000002E-4</v>
      </c>
      <c r="E72" s="214">
        <f t="shared" si="12"/>
        <v>24177.95115625759</v>
      </c>
      <c r="F72" s="211">
        <f t="shared" si="19"/>
        <v>24178</v>
      </c>
      <c r="G72" s="213">
        <f t="shared" si="13"/>
        <v>-1.7498660003184341E-2</v>
      </c>
      <c r="H72" s="213"/>
      <c r="I72" s="213"/>
      <c r="J72" s="213"/>
      <c r="K72" s="213">
        <f t="shared" ref="K72:K103" si="21">+G72</f>
        <v>-1.7498660003184341E-2</v>
      </c>
      <c r="L72" s="213"/>
      <c r="M72" s="213"/>
      <c r="N72" s="213"/>
      <c r="O72" s="213">
        <f t="shared" ca="1" si="20"/>
        <v>-1.651762586743398E-2</v>
      </c>
      <c r="P72" s="213">
        <f t="shared" si="14"/>
        <v>-1.1345579249284712E-2</v>
      </c>
      <c r="Q72" s="246">
        <f t="shared" si="15"/>
        <v>38432.038699999997</v>
      </c>
      <c r="R72" s="211">
        <f t="shared" si="16"/>
        <v>3.7860402764010023E-5</v>
      </c>
      <c r="S72" s="211">
        <v>1</v>
      </c>
      <c r="T72" s="211">
        <f t="shared" si="17"/>
        <v>3.7860402764010023E-5</v>
      </c>
      <c r="U72" s="211">
        <f>VLOOKUP(C72,'Active 2'!C$41:E$95,3,FALSE)</f>
        <v>24177.95115625759</v>
      </c>
    </row>
    <row r="73" spans="1:21" s="211" customFormat="1" ht="12.95" customHeight="1">
      <c r="A73" s="260" t="s">
        <v>49</v>
      </c>
      <c r="B73" s="124" t="s">
        <v>41</v>
      </c>
      <c r="C73" s="123">
        <v>53509.829700000002</v>
      </c>
      <c r="D73" s="123">
        <v>5.9999999999999995E-4</v>
      </c>
      <c r="E73" s="214">
        <f t="shared" si="12"/>
        <v>24343.449219008307</v>
      </c>
      <c r="F73" s="211">
        <f t="shared" si="19"/>
        <v>24343.5</v>
      </c>
      <c r="G73" s="213">
        <f t="shared" si="13"/>
        <v>-1.8192695002653636E-2</v>
      </c>
      <c r="H73" s="213"/>
      <c r="I73" s="213"/>
      <c r="J73" s="213"/>
      <c r="K73" s="213">
        <f t="shared" si="21"/>
        <v>-1.8192695002653636E-2</v>
      </c>
      <c r="L73" s="213"/>
      <c r="M73" s="213"/>
      <c r="N73" s="213"/>
      <c r="O73" s="213">
        <f t="shared" ca="1" si="20"/>
        <v>-1.7094549808556542E-2</v>
      </c>
      <c r="P73" s="213">
        <f t="shared" si="14"/>
        <v>-1.2035056707459038E-2</v>
      </c>
      <c r="Q73" s="246">
        <f t="shared" si="15"/>
        <v>38491.329700000002</v>
      </c>
      <c r="R73" s="211">
        <f t="shared" si="16"/>
        <v>3.7916509374447035E-5</v>
      </c>
      <c r="S73" s="211">
        <v>1</v>
      </c>
      <c r="T73" s="211">
        <f t="shared" si="17"/>
        <v>3.7916509374447035E-5</v>
      </c>
      <c r="U73" s="211">
        <f>VLOOKUP(C73,'Active 2'!C$41:E$95,3,FALSE)</f>
        <v>24343.449219008307</v>
      </c>
    </row>
    <row r="74" spans="1:21" s="211" customFormat="1" ht="12.95" customHeight="1">
      <c r="A74" s="260" t="s">
        <v>49</v>
      </c>
      <c r="B74" s="124" t="s">
        <v>41</v>
      </c>
      <c r="C74" s="123">
        <v>53511.6204</v>
      </c>
      <c r="D74" s="123">
        <v>1E-3</v>
      </c>
      <c r="E74" s="214">
        <f t="shared" si="12"/>
        <v>24348.447572569003</v>
      </c>
      <c r="F74" s="211">
        <f t="shared" si="19"/>
        <v>24348.5</v>
      </c>
      <c r="G74" s="213">
        <f t="shared" si="13"/>
        <v>-1.8782544997520745E-2</v>
      </c>
      <c r="H74" s="213"/>
      <c r="I74" s="213"/>
      <c r="J74" s="213"/>
      <c r="K74" s="213">
        <f t="shared" si="21"/>
        <v>-1.8782544997520745E-2</v>
      </c>
      <c r="L74" s="213"/>
      <c r="M74" s="213"/>
      <c r="N74" s="213"/>
      <c r="O74" s="213">
        <f t="shared" ca="1" si="20"/>
        <v>-1.7111979534874436E-2</v>
      </c>
      <c r="P74" s="213">
        <f t="shared" si="14"/>
        <v>-1.2056032765603089E-2</v>
      </c>
      <c r="Q74" s="246">
        <f t="shared" si="15"/>
        <v>38493.1204</v>
      </c>
      <c r="R74" s="211">
        <f t="shared" si="16"/>
        <v>4.5245966806137845E-5</v>
      </c>
      <c r="S74" s="211">
        <v>0.5</v>
      </c>
      <c r="T74" s="211">
        <f t="shared" si="17"/>
        <v>2.2622983403068922E-5</v>
      </c>
      <c r="U74" s="211">
        <f>VLOOKUP(C74,'Active 2'!C$41:E$95,3,FALSE)</f>
        <v>24348.447572569003</v>
      </c>
    </row>
    <row r="75" spans="1:21" s="211" customFormat="1" ht="12.95" customHeight="1">
      <c r="A75" s="260" t="s">
        <v>49</v>
      </c>
      <c r="B75" s="124" t="s">
        <v>39</v>
      </c>
      <c r="C75" s="123">
        <v>53511.798499999997</v>
      </c>
      <c r="D75" s="123">
        <v>2.0999999999999999E-3</v>
      </c>
      <c r="E75" s="214">
        <f t="shared" si="12"/>
        <v>24348.944700378881</v>
      </c>
      <c r="F75" s="211">
        <f t="shared" si="19"/>
        <v>24349</v>
      </c>
      <c r="G75" s="213">
        <f t="shared" si="13"/>
        <v>-1.9811530000879429E-2</v>
      </c>
      <c r="H75" s="213"/>
      <c r="I75" s="213"/>
      <c r="J75" s="213"/>
      <c r="K75" s="213">
        <f t="shared" si="21"/>
        <v>-1.9811530000879429E-2</v>
      </c>
      <c r="L75" s="213"/>
      <c r="M75" s="213"/>
      <c r="N75" s="213"/>
      <c r="O75" s="213">
        <f t="shared" ca="1" si="20"/>
        <v>-1.7113722507506229E-2</v>
      </c>
      <c r="P75" s="213">
        <f t="shared" si="14"/>
        <v>-1.2058130842138318E-2</v>
      </c>
      <c r="Q75" s="246">
        <f t="shared" si="15"/>
        <v>38493.298499999997</v>
      </c>
      <c r="R75" s="211">
        <f t="shared" si="16"/>
        <v>6.0115198514767378E-5</v>
      </c>
      <c r="S75" s="211">
        <v>0.4</v>
      </c>
      <c r="T75" s="211">
        <f t="shared" si="17"/>
        <v>2.4046079405906953E-5</v>
      </c>
      <c r="U75" s="211">
        <f>VLOOKUP(C75,'Active 2'!C$41:E$95,3,FALSE)</f>
        <v>24348.944700378881</v>
      </c>
    </row>
    <row r="76" spans="1:21" s="211" customFormat="1" ht="12.95" customHeight="1">
      <c r="A76" s="260" t="s">
        <v>49</v>
      </c>
      <c r="B76" s="124" t="s">
        <v>41</v>
      </c>
      <c r="C76" s="123">
        <v>53517.711300000003</v>
      </c>
      <c r="D76" s="123">
        <v>1.2999999999999999E-3</v>
      </c>
      <c r="E76" s="214">
        <f t="shared" si="12"/>
        <v>24365.449008712916</v>
      </c>
      <c r="F76" s="211">
        <f t="shared" si="19"/>
        <v>24365.5</v>
      </c>
      <c r="G76" s="213">
        <f t="shared" si="13"/>
        <v>-1.826803499716334E-2</v>
      </c>
      <c r="H76" s="213"/>
      <c r="I76" s="213"/>
      <c r="J76" s="213"/>
      <c r="K76" s="213">
        <f t="shared" si="21"/>
        <v>-1.826803499716334E-2</v>
      </c>
      <c r="L76" s="213"/>
      <c r="M76" s="213"/>
      <c r="N76" s="213"/>
      <c r="O76" s="213">
        <f t="shared" ca="1" si="20"/>
        <v>-1.7171240604355306E-2</v>
      </c>
      <c r="P76" s="213">
        <f t="shared" si="14"/>
        <v>-1.2127415381325155E-2</v>
      </c>
      <c r="Q76" s="246">
        <f t="shared" si="15"/>
        <v>38499.211300000003</v>
      </c>
      <c r="R76" s="211">
        <f t="shared" si="16"/>
        <v>3.7707209266416712E-5</v>
      </c>
      <c r="S76" s="211">
        <v>0.5</v>
      </c>
      <c r="T76" s="211">
        <f t="shared" si="17"/>
        <v>1.8853604633208356E-5</v>
      </c>
      <c r="U76" s="211">
        <f>VLOOKUP(C76,'Active 2'!C$41:E$95,3,FALSE)</f>
        <v>24365.449008712916</v>
      </c>
    </row>
    <row r="77" spans="1:21" s="211" customFormat="1" ht="12.95" customHeight="1">
      <c r="A77" s="260" t="s">
        <v>38</v>
      </c>
      <c r="B77" s="124" t="s">
        <v>39</v>
      </c>
      <c r="C77" s="123">
        <v>53521.474999999999</v>
      </c>
      <c r="D77" s="123">
        <v>2E-3</v>
      </c>
      <c r="E77" s="214">
        <f t="shared" si="12"/>
        <v>24375.954567040051</v>
      </c>
      <c r="F77" s="211">
        <f t="shared" si="19"/>
        <v>24376</v>
      </c>
      <c r="G77" s="213">
        <f t="shared" si="13"/>
        <v>-1.6276720001769718E-2</v>
      </c>
      <c r="H77" s="213"/>
      <c r="I77" s="213"/>
      <c r="J77" s="213"/>
      <c r="K77" s="213">
        <f t="shared" si="21"/>
        <v>-1.6276720001769718E-2</v>
      </c>
      <c r="L77" s="213"/>
      <c r="M77" s="213"/>
      <c r="N77" s="213"/>
      <c r="O77" s="213">
        <f t="shared" ca="1" si="20"/>
        <v>-1.7207843029622902E-2</v>
      </c>
      <c r="P77" s="213">
        <f t="shared" si="14"/>
        <v>-1.2171554069663748E-2</v>
      </c>
      <c r="Q77" s="246">
        <f t="shared" si="15"/>
        <v>38502.974999999999</v>
      </c>
      <c r="R77" s="211">
        <f t="shared" si="16"/>
        <v>1.6852387330123474E-5</v>
      </c>
      <c r="S77" s="211">
        <v>0.4</v>
      </c>
      <c r="T77" s="211">
        <f t="shared" si="17"/>
        <v>6.7409549320493896E-6</v>
      </c>
      <c r="U77" s="211">
        <f>VLOOKUP(C77,'Active 2'!C$41:E$95,3,FALSE)</f>
        <v>24375.954567040051</v>
      </c>
    </row>
    <row r="78" spans="1:21" s="211" customFormat="1" ht="12.95" customHeight="1">
      <c r="A78" s="263" t="s">
        <v>357</v>
      </c>
      <c r="B78" s="264" t="s">
        <v>41</v>
      </c>
      <c r="C78" s="265">
        <v>53858.241399999999</v>
      </c>
      <c r="D78" s="266" t="s">
        <v>181</v>
      </c>
      <c r="E78" s="214">
        <f t="shared" si="12"/>
        <v>25315.965475939021</v>
      </c>
      <c r="F78" s="211">
        <f t="shared" si="19"/>
        <v>25316</v>
      </c>
      <c r="G78" s="213">
        <f t="shared" si="13"/>
        <v>-1.2368520001473371E-2</v>
      </c>
      <c r="H78" s="213"/>
      <c r="I78" s="213"/>
      <c r="J78" s="213"/>
      <c r="K78" s="213">
        <f t="shared" si="21"/>
        <v>-1.2368520001473371E-2</v>
      </c>
      <c r="L78" s="213"/>
      <c r="M78" s="213"/>
      <c r="N78" s="213"/>
      <c r="O78" s="213">
        <f t="shared" ca="1" si="20"/>
        <v>-2.0484631577388474E-2</v>
      </c>
      <c r="P78" s="213">
        <f t="shared" si="14"/>
        <v>-1.6275953937570059E-2</v>
      </c>
      <c r="Q78" s="246">
        <f t="shared" si="15"/>
        <v>38839.741399999999</v>
      </c>
      <c r="R78" s="211">
        <f t="shared" si="16"/>
        <v>1.5268039964960056E-5</v>
      </c>
      <c r="S78" s="211">
        <v>1</v>
      </c>
      <c r="T78" s="211">
        <f t="shared" si="17"/>
        <v>1.5268039964960056E-5</v>
      </c>
      <c r="U78" s="211">
        <f>VLOOKUP(C78,'Active 2'!C$41:E$95,3,FALSE)</f>
        <v>25315.965475939021</v>
      </c>
    </row>
    <row r="79" spans="1:21" s="211" customFormat="1" ht="12.95" customHeight="1">
      <c r="A79" s="263" t="s">
        <v>357</v>
      </c>
      <c r="B79" s="264" t="s">
        <v>41</v>
      </c>
      <c r="C79" s="265">
        <v>53860.0311</v>
      </c>
      <c r="D79" s="266" t="s">
        <v>181</v>
      </c>
      <c r="E79" s="214">
        <f t="shared" si="12"/>
        <v>25320.961038215002</v>
      </c>
      <c r="F79" s="211">
        <f t="shared" si="19"/>
        <v>25321</v>
      </c>
      <c r="G79" s="213">
        <f t="shared" si="13"/>
        <v>-1.3958370000182185E-2</v>
      </c>
      <c r="H79" s="213"/>
      <c r="I79" s="213"/>
      <c r="J79" s="213"/>
      <c r="K79" s="213">
        <f t="shared" si="21"/>
        <v>-1.3958370000182185E-2</v>
      </c>
      <c r="L79" s="213"/>
      <c r="M79" s="213"/>
      <c r="N79" s="213"/>
      <c r="O79" s="213">
        <f t="shared" ca="1" si="20"/>
        <v>-2.0502061303706381E-2</v>
      </c>
      <c r="P79" s="213">
        <f t="shared" si="14"/>
        <v>-1.6298594635725402E-2</v>
      </c>
      <c r="Q79" s="246">
        <f t="shared" si="15"/>
        <v>38841.5311</v>
      </c>
      <c r="R79" s="211">
        <f t="shared" si="16"/>
        <v>5.4766513448033838E-6</v>
      </c>
      <c r="S79" s="211">
        <v>1</v>
      </c>
      <c r="T79" s="211">
        <f t="shared" si="17"/>
        <v>5.4766513448033838E-6</v>
      </c>
      <c r="U79" s="211">
        <f>VLOOKUP(C79,'Active 2'!C$41:E$95,3,FALSE)</f>
        <v>25320.961038215002</v>
      </c>
    </row>
    <row r="80" spans="1:21" s="211" customFormat="1" ht="12.95" customHeight="1">
      <c r="A80" s="271" t="s">
        <v>159</v>
      </c>
      <c r="B80" s="249"/>
      <c r="C80" s="272">
        <v>54164.364999999998</v>
      </c>
      <c r="D80" s="273">
        <v>5.0000000000000001E-4</v>
      </c>
      <c r="E80" s="214">
        <f t="shared" si="12"/>
        <v>26170.443605204364</v>
      </c>
      <c r="F80" s="211">
        <f t="shared" si="19"/>
        <v>26170.5</v>
      </c>
      <c r="G80" s="213">
        <f t="shared" si="13"/>
        <v>-2.0203885003866162E-2</v>
      </c>
      <c r="H80" s="213"/>
      <c r="I80" s="213"/>
      <c r="J80" s="213"/>
      <c r="K80" s="213">
        <f t="shared" si="21"/>
        <v>-2.0203885003866162E-2</v>
      </c>
      <c r="L80" s="213"/>
      <c r="M80" s="213"/>
      <c r="N80" s="213"/>
      <c r="O80" s="213">
        <f t="shared" ca="1" si="20"/>
        <v>-2.3463371805117927E-2</v>
      </c>
      <c r="P80" s="213">
        <f t="shared" si="14"/>
        <v>-2.0269502048079216E-2</v>
      </c>
      <c r="Q80" s="246">
        <f t="shared" si="15"/>
        <v>39145.864999999998</v>
      </c>
      <c r="R80" s="211">
        <f t="shared" si="16"/>
        <v>4.3055964912578584E-9</v>
      </c>
      <c r="S80" s="211">
        <v>1</v>
      </c>
      <c r="T80" s="211">
        <f t="shared" si="17"/>
        <v>4.3055964912578584E-9</v>
      </c>
      <c r="U80" s="211">
        <f>VLOOKUP(C80,'Active 2'!C$41:E$95,3,FALSE)</f>
        <v>26170.443605204364</v>
      </c>
    </row>
    <row r="81" spans="1:21" s="211" customFormat="1" ht="12.95" customHeight="1">
      <c r="A81" s="260" t="s">
        <v>160</v>
      </c>
      <c r="B81" s="124" t="s">
        <v>41</v>
      </c>
      <c r="C81" s="123">
        <v>54233.502</v>
      </c>
      <c r="D81" s="273">
        <v>1.5E-3</v>
      </c>
      <c r="E81" s="214">
        <f t="shared" si="12"/>
        <v>26363.424657377476</v>
      </c>
      <c r="F81" s="211">
        <f t="shared" si="19"/>
        <v>26363.5</v>
      </c>
      <c r="G81" s="213">
        <f t="shared" si="13"/>
        <v>-2.6992095001332927E-2</v>
      </c>
      <c r="H81" s="213"/>
      <c r="I81" s="213"/>
      <c r="J81" s="213"/>
      <c r="K81" s="213">
        <f t="shared" si="21"/>
        <v>-2.6992095001332927E-2</v>
      </c>
      <c r="L81" s="213"/>
      <c r="M81" s="213"/>
      <c r="N81" s="213"/>
      <c r="O81" s="213">
        <f t="shared" ca="1" si="20"/>
        <v>-2.4136159240988955E-2</v>
      </c>
      <c r="P81" s="213">
        <f t="shared" si="14"/>
        <v>-2.1206102371228205E-2</v>
      </c>
      <c r="Q81" s="246">
        <f t="shared" si="15"/>
        <v>39215.002</v>
      </c>
      <c r="R81" s="211">
        <f t="shared" si="16"/>
        <v>3.347771071562616E-5</v>
      </c>
      <c r="S81" s="211">
        <v>0.5</v>
      </c>
      <c r="T81" s="211">
        <f t="shared" si="17"/>
        <v>1.673885535781308E-5</v>
      </c>
      <c r="U81" s="211">
        <f>VLOOKUP(C81,'Active 2'!C$41:E$95,3,FALSE)</f>
        <v>26363.424657377476</v>
      </c>
    </row>
    <row r="82" spans="1:21" s="211" customFormat="1" ht="12.95" customHeight="1">
      <c r="A82" s="260" t="s">
        <v>160</v>
      </c>
      <c r="B82" s="124" t="s">
        <v>39</v>
      </c>
      <c r="C82" s="123">
        <v>54301.390500000001</v>
      </c>
      <c r="D82" s="273">
        <v>2E-3</v>
      </c>
      <c r="E82" s="214">
        <f t="shared" si="12"/>
        <v>26552.920790568875</v>
      </c>
      <c r="F82" s="211">
        <f t="shared" si="19"/>
        <v>26553</v>
      </c>
      <c r="G82" s="213">
        <f t="shared" si="13"/>
        <v>-2.8377410002576653E-2</v>
      </c>
      <c r="H82" s="213"/>
      <c r="I82" s="213"/>
      <c r="J82" s="213"/>
      <c r="K82" s="213">
        <f t="shared" si="21"/>
        <v>-2.8377410002576653E-2</v>
      </c>
      <c r="L82" s="213"/>
      <c r="M82" s="213"/>
      <c r="N82" s="213"/>
      <c r="O82" s="213">
        <f t="shared" ca="1" si="20"/>
        <v>-2.4796745868437442E-2</v>
      </c>
      <c r="P82" s="213">
        <f t="shared" si="14"/>
        <v>-2.2138124845572205E-2</v>
      </c>
      <c r="Q82" s="246">
        <f t="shared" si="15"/>
        <v>39282.890500000001</v>
      </c>
      <c r="R82" s="211">
        <f t="shared" si="16"/>
        <v>3.8928679270416022E-5</v>
      </c>
      <c r="S82" s="211">
        <v>0.4</v>
      </c>
      <c r="T82" s="211">
        <f t="shared" si="17"/>
        <v>1.5571471708166411E-5</v>
      </c>
      <c r="U82" s="211">
        <f>VLOOKUP(C82,'Active 2'!C$41:E$95,3,FALSE)</f>
        <v>26552.920790568875</v>
      </c>
    </row>
    <row r="83" spans="1:21" s="211" customFormat="1" ht="12.95" customHeight="1">
      <c r="A83" s="260" t="s">
        <v>160</v>
      </c>
      <c r="B83" s="124" t="s">
        <v>39</v>
      </c>
      <c r="C83" s="123">
        <v>54539.633500000004</v>
      </c>
      <c r="D83" s="273">
        <v>5.0000000000000001E-4</v>
      </c>
      <c r="E83" s="214">
        <f t="shared" si="12"/>
        <v>27217.924837792172</v>
      </c>
      <c r="F83" s="211">
        <f t="shared" si="19"/>
        <v>27218</v>
      </c>
      <c r="G83" s="213">
        <f t="shared" si="13"/>
        <v>-2.6927459999569692E-2</v>
      </c>
      <c r="H83" s="213"/>
      <c r="I83" s="213"/>
      <c r="J83" s="213"/>
      <c r="K83" s="213">
        <f t="shared" si="21"/>
        <v>-2.6927459999569692E-2</v>
      </c>
      <c r="L83" s="213"/>
      <c r="M83" s="213"/>
      <c r="N83" s="213"/>
      <c r="O83" s="213">
        <f t="shared" ca="1" si="20"/>
        <v>-2.7114899468718409E-2</v>
      </c>
      <c r="P83" s="213">
        <f t="shared" si="14"/>
        <v>-2.5506077329432067E-2</v>
      </c>
      <c r="Q83" s="246">
        <f t="shared" si="15"/>
        <v>39521.133500000004</v>
      </c>
      <c r="R83" s="211">
        <f t="shared" si="16"/>
        <v>2.0203286949675637E-6</v>
      </c>
      <c r="S83" s="211">
        <v>1</v>
      </c>
      <c r="T83" s="211">
        <f t="shared" si="17"/>
        <v>2.0203286949675637E-6</v>
      </c>
      <c r="U83" s="211">
        <f>VLOOKUP(C83,'Active 2'!C$41:E$95,3,FALSE)</f>
        <v>27217.924837792172</v>
      </c>
    </row>
    <row r="84" spans="1:21" s="211" customFormat="1" ht="12.95" customHeight="1">
      <c r="A84" s="263" t="s">
        <v>368</v>
      </c>
      <c r="B84" s="264" t="s">
        <v>41</v>
      </c>
      <c r="C84" s="265">
        <v>54571.160100000001</v>
      </c>
      <c r="D84" s="266" t="s">
        <v>181</v>
      </c>
      <c r="E84" s="214">
        <f t="shared" si="12"/>
        <v>27305.924554867546</v>
      </c>
      <c r="F84" s="211">
        <f t="shared" si="19"/>
        <v>27306</v>
      </c>
      <c r="G84" s="213">
        <f t="shared" si="13"/>
        <v>-2.702881999721285E-2</v>
      </c>
      <c r="H84" s="213"/>
      <c r="I84" s="213"/>
      <c r="J84" s="213"/>
      <c r="K84" s="213">
        <f t="shared" si="21"/>
        <v>-2.702881999721285E-2</v>
      </c>
      <c r="L84" s="213"/>
      <c r="M84" s="213"/>
      <c r="N84" s="213"/>
      <c r="O84" s="213">
        <f t="shared" ca="1" si="20"/>
        <v>-2.7421662651913481E-2</v>
      </c>
      <c r="P84" s="213">
        <f t="shared" si="14"/>
        <v>-2.5963103756164757E-2</v>
      </c>
      <c r="Q84" s="246">
        <f t="shared" si="15"/>
        <v>39552.660100000001</v>
      </c>
      <c r="R84" s="211">
        <f t="shared" si="16"/>
        <v>1.1357511064336759E-6</v>
      </c>
      <c r="S84" s="211">
        <v>1</v>
      </c>
      <c r="T84" s="211">
        <f t="shared" si="17"/>
        <v>1.1357511064336759E-6</v>
      </c>
      <c r="U84" s="211">
        <f>VLOOKUP(C84,'Active 2'!C$41:E$95,3,FALSE)</f>
        <v>27305.924554867546</v>
      </c>
    </row>
    <row r="85" spans="1:21" s="211" customFormat="1" ht="12.95" customHeight="1">
      <c r="A85" s="260" t="s">
        <v>160</v>
      </c>
      <c r="B85" s="124" t="s">
        <v>41</v>
      </c>
      <c r="C85" s="123">
        <v>54644.423999999999</v>
      </c>
      <c r="D85" s="123">
        <v>1E-3</v>
      </c>
      <c r="E85" s="214">
        <f t="shared" ref="E85:E116" si="22">+(C85-C$7)/C$8</f>
        <v>27510.42495998065</v>
      </c>
      <c r="F85" s="211">
        <f t="shared" si="19"/>
        <v>27510.5</v>
      </c>
      <c r="G85" s="213">
        <f t="shared" ref="G85:G116" si="23">+C85-(C$7+F85*C$8)</f>
        <v>-2.6883685000939295E-2</v>
      </c>
      <c r="H85" s="213"/>
      <c r="I85" s="213"/>
      <c r="J85" s="213"/>
      <c r="K85" s="213">
        <f t="shared" si="21"/>
        <v>-2.6883685000939295E-2</v>
      </c>
      <c r="L85" s="213"/>
      <c r="M85" s="213"/>
      <c r="N85" s="213"/>
      <c r="O85" s="213">
        <f t="shared" ca="1" si="20"/>
        <v>-2.8134538458315678E-2</v>
      </c>
      <c r="P85" s="213">
        <f t="shared" ref="P85:P116" si="24">+D$11+D$12*F85+D$13*F85^2</f>
        <v>-2.703540966995964E-2</v>
      </c>
      <c r="Q85" s="246">
        <f t="shared" ref="Q85:Q116" si="25">+C85-15018.5</f>
        <v>39625.923999999999</v>
      </c>
      <c r="R85" s="211">
        <f t="shared" ref="R85:R116" si="26">+(P85-G85)^2</f>
        <v>2.3020375189333232E-8</v>
      </c>
      <c r="S85" s="211">
        <v>0.5</v>
      </c>
      <c r="T85" s="211">
        <f t="shared" ref="T85:T116" si="27">S85*R85</f>
        <v>1.1510187594666616E-8</v>
      </c>
      <c r="U85" s="211">
        <f>VLOOKUP(C85,'Active 2'!C$41:E$95,3,FALSE)</f>
        <v>27510.42495998065</v>
      </c>
    </row>
    <row r="86" spans="1:21" s="211" customFormat="1" ht="12.95" customHeight="1">
      <c r="A86" s="260" t="s">
        <v>160</v>
      </c>
      <c r="B86" s="124" t="s">
        <v>39</v>
      </c>
      <c r="C86" s="123">
        <v>54646.394999999997</v>
      </c>
      <c r="D86" s="123">
        <v>2.9999999999999997E-4</v>
      </c>
      <c r="E86" s="214">
        <f t="shared" si="22"/>
        <v>27515.926582177632</v>
      </c>
      <c r="F86" s="211">
        <f t="shared" si="19"/>
        <v>27516</v>
      </c>
      <c r="G86" s="213">
        <f t="shared" si="23"/>
        <v>-2.6302520003810059E-2</v>
      </c>
      <c r="H86" s="213"/>
      <c r="I86" s="213"/>
      <c r="J86" s="213"/>
      <c r="K86" s="213">
        <f t="shared" si="21"/>
        <v>-2.6302520003810059E-2</v>
      </c>
      <c r="L86" s="213"/>
      <c r="M86" s="213"/>
      <c r="N86" s="213"/>
      <c r="O86" s="213">
        <f t="shared" ca="1" si="20"/>
        <v>-2.8153711157265365E-2</v>
      </c>
      <c r="P86" s="213">
        <f t="shared" si="24"/>
        <v>-2.7064446896060371E-2</v>
      </c>
      <c r="Q86" s="246">
        <f t="shared" si="25"/>
        <v>39627.894999999997</v>
      </c>
      <c r="R86" s="211">
        <f t="shared" si="26"/>
        <v>5.805325891342176E-7</v>
      </c>
      <c r="S86" s="211">
        <v>1</v>
      </c>
      <c r="T86" s="211">
        <f t="shared" si="27"/>
        <v>5.805325891342176E-7</v>
      </c>
      <c r="U86" s="211">
        <f>VLOOKUP(C86,'Active 2'!C$41:E$95,3,FALSE)</f>
        <v>27515.926582177632</v>
      </c>
    </row>
    <row r="87" spans="1:21" s="211" customFormat="1" ht="12.95" customHeight="1">
      <c r="A87" s="260" t="s">
        <v>160</v>
      </c>
      <c r="B87" s="124" t="s">
        <v>39</v>
      </c>
      <c r="C87" s="123">
        <v>54656.426500000001</v>
      </c>
      <c r="D87" s="123">
        <v>1.5E-3</v>
      </c>
      <c r="E87" s="214">
        <f t="shared" si="22"/>
        <v>27543.927354916908</v>
      </c>
      <c r="F87" s="211">
        <f t="shared" si="19"/>
        <v>27544</v>
      </c>
      <c r="G87" s="213">
        <f t="shared" si="23"/>
        <v>-2.6025679995655082E-2</v>
      </c>
      <c r="H87" s="213"/>
      <c r="I87" s="213"/>
      <c r="J87" s="213"/>
      <c r="K87" s="213">
        <f t="shared" si="21"/>
        <v>-2.6025679995655082E-2</v>
      </c>
      <c r="L87" s="213"/>
      <c r="M87" s="213"/>
      <c r="N87" s="213"/>
      <c r="O87" s="213">
        <f t="shared" ca="1" si="20"/>
        <v>-2.8251317624645611E-2</v>
      </c>
      <c r="P87" s="213">
        <f t="shared" si="24"/>
        <v>-2.7212433332985828E-2</v>
      </c>
      <c r="Q87" s="246">
        <f t="shared" si="25"/>
        <v>39637.926500000001</v>
      </c>
      <c r="R87" s="211">
        <f t="shared" si="26"/>
        <v>1.4083834836656621E-6</v>
      </c>
      <c r="S87" s="211">
        <v>0.5</v>
      </c>
      <c r="T87" s="211">
        <f t="shared" si="27"/>
        <v>7.0419174183283103E-7</v>
      </c>
      <c r="U87" s="211">
        <f>VLOOKUP(C87,'Active 2'!C$41:E$95,3,FALSE)</f>
        <v>27543.927354916908</v>
      </c>
    </row>
    <row r="88" spans="1:21" s="211" customFormat="1" ht="12.95" customHeight="1">
      <c r="A88" s="260" t="s">
        <v>161</v>
      </c>
      <c r="B88" s="124" t="s">
        <v>41</v>
      </c>
      <c r="C88" s="123">
        <v>54667.352200000001</v>
      </c>
      <c r="D88" s="123">
        <v>1E-4</v>
      </c>
      <c r="E88" s="214">
        <f t="shared" si="22"/>
        <v>27574.424094459086</v>
      </c>
      <c r="F88" s="211">
        <f t="shared" si="19"/>
        <v>27574.5</v>
      </c>
      <c r="G88" s="213">
        <f t="shared" si="23"/>
        <v>-2.719376500317594E-2</v>
      </c>
      <c r="H88" s="213"/>
      <c r="I88" s="213"/>
      <c r="J88" s="213"/>
      <c r="K88" s="213">
        <f t="shared" si="21"/>
        <v>-2.719376500317594E-2</v>
      </c>
      <c r="L88" s="213"/>
      <c r="M88" s="213"/>
      <c r="N88" s="213"/>
      <c r="O88" s="213">
        <f t="shared" ca="1" si="20"/>
        <v>-2.8357638955184811E-2</v>
      </c>
      <c r="P88" s="213">
        <f t="shared" si="24"/>
        <v>-2.7373938256867097E-2</v>
      </c>
      <c r="Q88" s="246">
        <f t="shared" si="25"/>
        <v>39648.852200000001</v>
      </c>
      <c r="R88" s="211">
        <f t="shared" si="26"/>
        <v>3.2462401345658061E-8</v>
      </c>
      <c r="S88" s="211">
        <v>1</v>
      </c>
      <c r="T88" s="211">
        <f t="shared" si="27"/>
        <v>3.2462401345658061E-8</v>
      </c>
      <c r="U88" s="211">
        <f>VLOOKUP(C88,'Active 2'!C$41:E$95,3,FALSE)</f>
        <v>27574.424094459086</v>
      </c>
    </row>
    <row r="89" spans="1:21" s="211" customFormat="1" ht="12.95" customHeight="1">
      <c r="A89" s="260" t="s">
        <v>182</v>
      </c>
      <c r="B89" s="124" t="s">
        <v>39</v>
      </c>
      <c r="C89" s="123">
        <v>54667.352200000001</v>
      </c>
      <c r="D89" s="123">
        <v>1E-4</v>
      </c>
      <c r="E89" s="214">
        <f t="shared" si="22"/>
        <v>27574.424094459086</v>
      </c>
      <c r="F89" s="211">
        <f t="shared" si="19"/>
        <v>27574.5</v>
      </c>
      <c r="G89" s="213">
        <f t="shared" si="23"/>
        <v>-2.719376500317594E-2</v>
      </c>
      <c r="H89" s="213"/>
      <c r="I89" s="213"/>
      <c r="J89" s="213"/>
      <c r="K89" s="213">
        <f t="shared" si="21"/>
        <v>-2.719376500317594E-2</v>
      </c>
      <c r="L89" s="213"/>
      <c r="M89" s="213"/>
      <c r="N89" s="213"/>
      <c r="O89" s="213">
        <f t="shared" ca="1" si="20"/>
        <v>-2.8357638955184811E-2</v>
      </c>
      <c r="P89" s="213">
        <f t="shared" si="24"/>
        <v>-2.7373938256867097E-2</v>
      </c>
      <c r="Q89" s="246">
        <f t="shared" si="25"/>
        <v>39648.852200000001</v>
      </c>
      <c r="R89" s="211">
        <f t="shared" si="26"/>
        <v>3.2462401345658061E-8</v>
      </c>
      <c r="S89" s="211">
        <v>1</v>
      </c>
      <c r="T89" s="211">
        <f t="shared" si="27"/>
        <v>3.2462401345658061E-8</v>
      </c>
      <c r="U89" s="211">
        <f>VLOOKUP(C89,'Active 2'!C$41:E$95,3,FALSE)</f>
        <v>27574.424094459086</v>
      </c>
    </row>
    <row r="90" spans="1:21" s="211" customFormat="1" ht="12.95" customHeight="1">
      <c r="A90" s="123" t="s">
        <v>125</v>
      </c>
      <c r="B90" s="124" t="s">
        <v>41</v>
      </c>
      <c r="C90" s="123">
        <v>54667.3531</v>
      </c>
      <c r="D90" s="123">
        <v>6.9999999999999999E-4</v>
      </c>
      <c r="E90" s="214">
        <f t="shared" si="22"/>
        <v>27574.42660661534</v>
      </c>
      <c r="F90" s="211">
        <f t="shared" si="19"/>
        <v>27574.5</v>
      </c>
      <c r="G90" s="213">
        <f t="shared" si="23"/>
        <v>-2.629376500408398E-2</v>
      </c>
      <c r="H90" s="213"/>
      <c r="I90" s="213"/>
      <c r="J90" s="213"/>
      <c r="K90" s="213">
        <f t="shared" si="21"/>
        <v>-2.629376500408398E-2</v>
      </c>
      <c r="L90" s="213"/>
      <c r="M90" s="213"/>
      <c r="N90" s="213"/>
      <c r="O90" s="213">
        <f t="shared" ca="1" si="20"/>
        <v>-2.8357638955184811E-2</v>
      </c>
      <c r="P90" s="213">
        <f t="shared" si="24"/>
        <v>-2.7373938256867097E-2</v>
      </c>
      <c r="Q90" s="246">
        <f t="shared" si="25"/>
        <v>39648.8531</v>
      </c>
      <c r="R90" s="211">
        <f t="shared" si="26"/>
        <v>1.1667742560280609E-6</v>
      </c>
      <c r="S90" s="211">
        <v>1</v>
      </c>
      <c r="T90" s="211">
        <f t="shared" si="27"/>
        <v>1.1667742560280609E-6</v>
      </c>
      <c r="U90" s="211">
        <f>VLOOKUP(C90,'Active 2'!C$41:E$95,3,FALSE)</f>
        <v>27574.42660661534</v>
      </c>
    </row>
    <row r="91" spans="1:21" s="211" customFormat="1" ht="12.95" customHeight="1">
      <c r="A91" s="260" t="s">
        <v>160</v>
      </c>
      <c r="B91" s="124" t="s">
        <v>39</v>
      </c>
      <c r="C91" s="123">
        <v>54894.668599999997</v>
      </c>
      <c r="D91" s="123"/>
      <c r="E91" s="214">
        <f t="shared" si="22"/>
        <v>28208.92888998393</v>
      </c>
      <c r="F91" s="211">
        <f t="shared" si="19"/>
        <v>28209</v>
      </c>
      <c r="G91" s="213">
        <f t="shared" si="23"/>
        <v>-2.5475730006291997E-2</v>
      </c>
      <c r="H91" s="213"/>
      <c r="I91" s="213"/>
      <c r="J91" s="213"/>
      <c r="K91" s="213">
        <f t="shared" si="21"/>
        <v>-2.5475730006291997E-2</v>
      </c>
      <c r="L91" s="213"/>
      <c r="M91" s="213"/>
      <c r="N91" s="213"/>
      <c r="O91" s="213">
        <f t="shared" ca="1" si="20"/>
        <v>-3.0569471224926578E-2</v>
      </c>
      <c r="P91" s="213">
        <f t="shared" si="24"/>
        <v>-3.0805994605955705E-2</v>
      </c>
      <c r="Q91" s="246">
        <f t="shared" si="25"/>
        <v>39876.168599999997</v>
      </c>
      <c r="R91" s="211">
        <f t="shared" si="26"/>
        <v>2.8411720702428119E-5</v>
      </c>
      <c r="S91" s="211">
        <v>1</v>
      </c>
      <c r="T91" s="211">
        <f t="shared" si="27"/>
        <v>2.8411720702428119E-5</v>
      </c>
      <c r="U91" s="211">
        <f>VLOOKUP(C91,'Active 2'!C$41:E$95,3,FALSE)</f>
        <v>28208.92888998393</v>
      </c>
    </row>
    <row r="92" spans="1:21" s="211" customFormat="1" ht="12.95" customHeight="1">
      <c r="A92" s="263" t="s">
        <v>384</v>
      </c>
      <c r="B92" s="264" t="s">
        <v>39</v>
      </c>
      <c r="C92" s="265">
        <v>54920.283100000001</v>
      </c>
      <c r="D92" s="266" t="s">
        <v>181</v>
      </c>
      <c r="E92" s="214">
        <f t="shared" si="22"/>
        <v>28280.426252624609</v>
      </c>
      <c r="F92" s="211">
        <f t="shared" si="19"/>
        <v>28280.5</v>
      </c>
      <c r="G92" s="213">
        <f t="shared" si="23"/>
        <v>-2.64205849962309E-2</v>
      </c>
      <c r="H92" s="213"/>
      <c r="I92" s="213"/>
      <c r="J92" s="213"/>
      <c r="K92" s="213">
        <f t="shared" si="21"/>
        <v>-2.64205849962309E-2</v>
      </c>
      <c r="L92" s="213"/>
      <c r="M92" s="213"/>
      <c r="N92" s="213"/>
      <c r="O92" s="213">
        <f t="shared" ca="1" si="20"/>
        <v>-3.0818716311272587E-2</v>
      </c>
      <c r="P92" s="213">
        <f t="shared" si="24"/>
        <v>-3.1201383824037809E-2</v>
      </c>
      <c r="Q92" s="246">
        <f t="shared" si="25"/>
        <v>39901.783100000001</v>
      </c>
      <c r="R92" s="211">
        <f t="shared" si="26"/>
        <v>2.2856037431959915E-5</v>
      </c>
      <c r="S92" s="211">
        <v>1</v>
      </c>
      <c r="T92" s="211">
        <f t="shared" si="27"/>
        <v>2.2856037431959915E-5</v>
      </c>
      <c r="U92" s="211">
        <f>VLOOKUP(C92,'Active 2'!C$41:E$95,3,FALSE)</f>
        <v>28280.426252624609</v>
      </c>
    </row>
    <row r="93" spans="1:21" s="211" customFormat="1" ht="12.95" customHeight="1">
      <c r="A93" s="263" t="s">
        <v>384</v>
      </c>
      <c r="B93" s="264" t="s">
        <v>39</v>
      </c>
      <c r="C93" s="265">
        <v>54951.092799999999</v>
      </c>
      <c r="D93" s="266" t="s">
        <v>181</v>
      </c>
      <c r="E93" s="214">
        <f t="shared" si="22"/>
        <v>28366.424897679171</v>
      </c>
      <c r="F93" s="211">
        <f t="shared" si="19"/>
        <v>28366.5</v>
      </c>
      <c r="G93" s="213">
        <f t="shared" si="23"/>
        <v>-2.6906005005002953E-2</v>
      </c>
      <c r="H93" s="213"/>
      <c r="I93" s="213"/>
      <c r="J93" s="213"/>
      <c r="K93" s="213">
        <f t="shared" si="21"/>
        <v>-2.6906005005002953E-2</v>
      </c>
      <c r="L93" s="213"/>
      <c r="M93" s="213"/>
      <c r="N93" s="213"/>
      <c r="O93" s="213">
        <f t="shared" ca="1" si="20"/>
        <v>-3.1118507603940498E-2</v>
      </c>
      <c r="P93" s="213">
        <f t="shared" si="24"/>
        <v>-3.1679275383594274E-2</v>
      </c>
      <c r="Q93" s="246">
        <f t="shared" si="25"/>
        <v>39932.592799999999</v>
      </c>
      <c r="R93" s="211">
        <f t="shared" si="26"/>
        <v>2.2784110107137333E-5</v>
      </c>
      <c r="S93" s="211">
        <v>1</v>
      </c>
      <c r="T93" s="211">
        <f t="shared" si="27"/>
        <v>2.2784110107137333E-5</v>
      </c>
      <c r="U93" s="211">
        <f>VLOOKUP(C93,'Active 2'!C$41:E$95,3,FALSE)</f>
        <v>28366.424897679171</v>
      </c>
    </row>
    <row r="94" spans="1:21" s="211" customFormat="1" ht="12.95" customHeight="1">
      <c r="A94" s="260" t="s">
        <v>160</v>
      </c>
      <c r="B94" s="124" t="s">
        <v>41</v>
      </c>
      <c r="C94" s="123">
        <v>54971.514000000003</v>
      </c>
      <c r="D94" s="123"/>
      <c r="E94" s="214">
        <f t="shared" si="22"/>
        <v>28423.426281346936</v>
      </c>
      <c r="F94" s="211">
        <f t="shared" si="19"/>
        <v>28423.5</v>
      </c>
      <c r="G94" s="213">
        <f t="shared" si="23"/>
        <v>-2.6410294995002914E-2</v>
      </c>
      <c r="H94" s="213"/>
      <c r="I94" s="213"/>
      <c r="J94" s="213"/>
      <c r="K94" s="213">
        <f t="shared" si="21"/>
        <v>-2.6410294995002914E-2</v>
      </c>
      <c r="L94" s="213"/>
      <c r="M94" s="213"/>
      <c r="N94" s="213"/>
      <c r="O94" s="213">
        <f t="shared" ca="1" si="20"/>
        <v>-3.1317206483964577E-2</v>
      </c>
      <c r="P94" s="213">
        <f t="shared" si="24"/>
        <v>-3.199741268029313E-2</v>
      </c>
      <c r="Q94" s="246">
        <f t="shared" si="25"/>
        <v>39953.014000000003</v>
      </c>
      <c r="R94" s="211">
        <f t="shared" si="26"/>
        <v>3.1215884029282698E-5</v>
      </c>
      <c r="S94" s="211">
        <v>1</v>
      </c>
      <c r="T94" s="211">
        <f t="shared" si="27"/>
        <v>3.1215884029282698E-5</v>
      </c>
      <c r="U94" s="211">
        <f>VLOOKUP(C94,'Active 2'!C$41:E$95,3,FALSE)</f>
        <v>28423.426281346936</v>
      </c>
    </row>
    <row r="95" spans="1:21" s="211" customFormat="1" ht="12.95" customHeight="1">
      <c r="A95" s="263" t="s">
        <v>393</v>
      </c>
      <c r="B95" s="264" t="s">
        <v>41</v>
      </c>
      <c r="C95" s="265">
        <v>55318.118300000002</v>
      </c>
      <c r="D95" s="266" t="s">
        <v>181</v>
      </c>
      <c r="E95" s="214">
        <f t="shared" si="22"/>
        <v>29390.897570262012</v>
      </c>
      <c r="F95" s="211">
        <f t="shared" si="19"/>
        <v>29391</v>
      </c>
      <c r="G95" s="213">
        <f t="shared" si="23"/>
        <v>-3.6696269999083597E-2</v>
      </c>
      <c r="H95" s="213"/>
      <c r="I95" s="213"/>
      <c r="J95" s="213"/>
      <c r="K95" s="213">
        <f t="shared" si="21"/>
        <v>-3.6696269999083597E-2</v>
      </c>
      <c r="L95" s="213"/>
      <c r="M95" s="213"/>
      <c r="N95" s="213"/>
      <c r="O95" s="213">
        <f t="shared" ca="1" si="20"/>
        <v>-3.4689858526478615E-2</v>
      </c>
      <c r="P95" s="213">
        <f t="shared" si="24"/>
        <v>-3.7567040234687918E-2</v>
      </c>
      <c r="Q95" s="246">
        <f t="shared" si="25"/>
        <v>40299.618300000002</v>
      </c>
      <c r="R95" s="211">
        <f t="shared" si="26"/>
        <v>7.5824080321440415E-7</v>
      </c>
      <c r="S95" s="211">
        <v>1</v>
      </c>
      <c r="T95" s="211">
        <f t="shared" si="27"/>
        <v>7.5824080321440415E-7</v>
      </c>
      <c r="U95" s="211">
        <f>VLOOKUP(C95,'Active 2'!C$41:E$95,3,FALSE)</f>
        <v>29390.897570262012</v>
      </c>
    </row>
    <row r="96" spans="1:21" s="211" customFormat="1" ht="12.95" customHeight="1">
      <c r="A96" s="263" t="s">
        <v>393</v>
      </c>
      <c r="B96" s="264" t="s">
        <v>41</v>
      </c>
      <c r="C96" s="265">
        <v>55350.003599999996</v>
      </c>
      <c r="D96" s="266" t="s">
        <v>181</v>
      </c>
      <c r="E96" s="214">
        <f t="shared" si="22"/>
        <v>29479.898521168965</v>
      </c>
      <c r="F96" s="211">
        <f t="shared" si="19"/>
        <v>29480</v>
      </c>
      <c r="G96" s="213">
        <f t="shared" si="23"/>
        <v>-3.6355600008391775E-2</v>
      </c>
      <c r="H96" s="213"/>
      <c r="I96" s="213"/>
      <c r="J96" s="213"/>
      <c r="K96" s="213">
        <f t="shared" si="21"/>
        <v>-3.6355600008391775E-2</v>
      </c>
      <c r="L96" s="213"/>
      <c r="M96" s="213"/>
      <c r="N96" s="213"/>
      <c r="O96" s="213">
        <f t="shared" ca="1" si="20"/>
        <v>-3.5000107654937274E-2</v>
      </c>
      <c r="P96" s="213">
        <f t="shared" si="24"/>
        <v>-3.8095483374544339E-2</v>
      </c>
      <c r="Q96" s="246">
        <f t="shared" si="25"/>
        <v>40331.503599999996</v>
      </c>
      <c r="R96" s="211">
        <f t="shared" si="26"/>
        <v>3.0271941278143777E-6</v>
      </c>
      <c r="S96" s="211">
        <v>1</v>
      </c>
      <c r="T96" s="211">
        <f t="shared" si="27"/>
        <v>3.0271941278143777E-6</v>
      </c>
      <c r="U96" s="211" t="e">
        <f>VLOOKUP(C96,'Active 2'!C$41:E$95,3,FALSE)</f>
        <v>#N/A</v>
      </c>
    </row>
    <row r="97" spans="1:21" s="211" customFormat="1" ht="12.95" customHeight="1">
      <c r="A97" s="123" t="s">
        <v>180</v>
      </c>
      <c r="B97" s="124" t="s">
        <v>41</v>
      </c>
      <c r="C97" s="123">
        <v>55652.909099999997</v>
      </c>
      <c r="D97" s="123">
        <v>5.9999999999999995E-4</v>
      </c>
      <c r="E97" s="214">
        <f t="shared" si="22"/>
        <v>30325.394017054237</v>
      </c>
      <c r="F97" s="211">
        <f t="shared" si="19"/>
        <v>30325.5</v>
      </c>
      <c r="G97" s="213">
        <f t="shared" si="23"/>
        <v>-3.7969235003401991E-2</v>
      </c>
      <c r="H97" s="213"/>
      <c r="I97" s="213"/>
      <c r="J97" s="213"/>
      <c r="K97" s="213">
        <f t="shared" si="21"/>
        <v>-3.7969235003401991E-2</v>
      </c>
      <c r="L97" s="213"/>
      <c r="M97" s="213"/>
      <c r="N97" s="213"/>
      <c r="O97" s="213">
        <f t="shared" ca="1" si="20"/>
        <v>-3.7947474375294499E-2</v>
      </c>
      <c r="P97" s="213">
        <f t="shared" si="24"/>
        <v>-4.3250938956349419E-2</v>
      </c>
      <c r="Q97" s="246">
        <f t="shared" si="25"/>
        <v>40634.409099999997</v>
      </c>
      <c r="R97" s="211">
        <f t="shared" si="26"/>
        <v>2.7896396646580488E-5</v>
      </c>
      <c r="S97" s="211">
        <v>1</v>
      </c>
      <c r="T97" s="211">
        <f t="shared" si="27"/>
        <v>2.7896396646580488E-5</v>
      </c>
      <c r="U97" s="211" t="e">
        <f>VLOOKUP(C97,'Active 2'!C$41:E$95,3,FALSE)</f>
        <v>#N/A</v>
      </c>
    </row>
    <row r="98" spans="1:21" s="211" customFormat="1" ht="12.95" customHeight="1">
      <c r="A98" s="263" t="s">
        <v>408</v>
      </c>
      <c r="B98" s="264" t="s">
        <v>39</v>
      </c>
      <c r="C98" s="265">
        <v>56016.900699999998</v>
      </c>
      <c r="D98" s="265" t="s">
        <v>213</v>
      </c>
      <c r="E98" s="214">
        <f t="shared" si="22"/>
        <v>31341.398210903717</v>
      </c>
      <c r="F98" s="211">
        <f t="shared" ref="F98:F129" si="28">ROUND(2*E98,0)/2</f>
        <v>31341.5</v>
      </c>
      <c r="G98" s="213">
        <f t="shared" si="23"/>
        <v>-3.6466755002038553E-2</v>
      </c>
      <c r="H98" s="213"/>
      <c r="I98" s="213"/>
      <c r="J98" s="213"/>
      <c r="K98" s="213">
        <f t="shared" si="21"/>
        <v>-3.6466755002038553E-2</v>
      </c>
      <c r="L98" s="213"/>
      <c r="M98" s="213"/>
      <c r="N98" s="213"/>
      <c r="O98" s="213">
        <f t="shared" ref="O98:O124" ca="1" si="29">+C$11+C$12*F98</f>
        <v>-4.1489194763092194E-2</v>
      </c>
      <c r="P98" s="213">
        <f t="shared" si="24"/>
        <v>-4.9769755556102316E-2</v>
      </c>
      <c r="Q98" s="246">
        <f t="shared" si="25"/>
        <v>40998.400699999998</v>
      </c>
      <c r="R98" s="211">
        <f t="shared" si="26"/>
        <v>1.7696982374142077E-4</v>
      </c>
      <c r="S98" s="211">
        <v>1</v>
      </c>
      <c r="T98" s="211">
        <f t="shared" si="27"/>
        <v>1.7696982374142077E-4</v>
      </c>
      <c r="U98" s="211" t="e">
        <f>VLOOKUP(C98,'Active 2'!C$41:E$95,3,FALSE)</f>
        <v>#N/A</v>
      </c>
    </row>
    <row r="99" spans="1:21" s="211" customFormat="1" ht="12.95" customHeight="1">
      <c r="A99" s="263" t="s">
        <v>413</v>
      </c>
      <c r="B99" s="264" t="s">
        <v>39</v>
      </c>
      <c r="C99" s="265">
        <v>56053.082900000001</v>
      </c>
      <c r="D99" s="266" t="s">
        <v>181</v>
      </c>
      <c r="E99" s="214">
        <f t="shared" si="22"/>
        <v>31442.393033154294</v>
      </c>
      <c r="F99" s="211">
        <f t="shared" si="28"/>
        <v>31442.5</v>
      </c>
      <c r="G99" s="213">
        <f t="shared" si="23"/>
        <v>-3.8321724998240825E-2</v>
      </c>
      <c r="H99" s="213"/>
      <c r="I99" s="213"/>
      <c r="J99" s="213"/>
      <c r="K99" s="213">
        <f t="shared" si="21"/>
        <v>-3.8321724998240825E-2</v>
      </c>
      <c r="L99" s="213"/>
      <c r="M99" s="213"/>
      <c r="N99" s="213"/>
      <c r="O99" s="213">
        <f t="shared" ca="1" si="29"/>
        <v>-4.1841275234713815E-2</v>
      </c>
      <c r="P99" s="213">
        <f t="shared" si="24"/>
        <v>-5.0437098543564776E-2</v>
      </c>
      <c r="Q99" s="246">
        <f t="shared" si="25"/>
        <v>41034.582900000001</v>
      </c>
      <c r="R99" s="211">
        <f t="shared" si="26"/>
        <v>1.4678227614273545E-4</v>
      </c>
      <c r="S99" s="211">
        <v>1</v>
      </c>
      <c r="T99" s="211">
        <f t="shared" si="27"/>
        <v>1.4678227614273545E-4</v>
      </c>
      <c r="U99" s="211" t="e">
        <f>VLOOKUP(C99,'Active 2'!C$41:E$95,3,FALSE)</f>
        <v>#N/A</v>
      </c>
    </row>
    <row r="100" spans="1:21" s="211" customFormat="1" ht="12.95" customHeight="1">
      <c r="A100" s="274" t="s">
        <v>192</v>
      </c>
      <c r="B100" s="275" t="s">
        <v>41</v>
      </c>
      <c r="C100" s="276">
        <v>56067.413800000002</v>
      </c>
      <c r="D100" s="276">
        <v>2.9999999999999997E-4</v>
      </c>
      <c r="E100" s="214">
        <f t="shared" si="22"/>
        <v>31482.394655448981</v>
      </c>
      <c r="F100" s="211">
        <f t="shared" si="28"/>
        <v>31482.5</v>
      </c>
      <c r="G100" s="213">
        <f t="shared" si="23"/>
        <v>-3.7740524996479508E-2</v>
      </c>
      <c r="H100" s="213"/>
      <c r="I100" s="213"/>
      <c r="J100" s="213"/>
      <c r="K100" s="213">
        <f t="shared" si="21"/>
        <v>-3.7740524996479508E-2</v>
      </c>
      <c r="L100" s="213"/>
      <c r="M100" s="213"/>
      <c r="N100" s="213"/>
      <c r="O100" s="213">
        <f t="shared" ca="1" si="29"/>
        <v>-4.1980713045257023E-2</v>
      </c>
      <c r="P100" s="213">
        <f t="shared" si="24"/>
        <v>-5.0702358201646133E-2</v>
      </c>
      <c r="Q100" s="246">
        <f t="shared" si="25"/>
        <v>41048.913800000002</v>
      </c>
      <c r="R100" s="211">
        <f t="shared" si="26"/>
        <v>1.6800912003856012E-4</v>
      </c>
      <c r="S100" s="211">
        <v>1</v>
      </c>
      <c r="T100" s="211">
        <f t="shared" si="27"/>
        <v>1.6800912003856012E-4</v>
      </c>
      <c r="U100" s="211" t="e">
        <f>VLOOKUP(C100,'Active 2'!C$41:E$95,3,FALSE)</f>
        <v>#N/A</v>
      </c>
    </row>
    <row r="101" spans="1:21" s="211" customFormat="1" ht="12.95" customHeight="1">
      <c r="A101" s="277" t="s">
        <v>192</v>
      </c>
      <c r="B101" s="278" t="s">
        <v>41</v>
      </c>
      <c r="C101" s="273">
        <v>56067.413800000002</v>
      </c>
      <c r="D101" s="273">
        <v>2.9999999999999997E-4</v>
      </c>
      <c r="E101" s="214">
        <f t="shared" si="22"/>
        <v>31482.394655448981</v>
      </c>
      <c r="F101" s="211">
        <f t="shared" si="28"/>
        <v>31482.5</v>
      </c>
      <c r="G101" s="213">
        <f t="shared" si="23"/>
        <v>-3.7740524996479508E-2</v>
      </c>
      <c r="H101" s="213"/>
      <c r="I101" s="213"/>
      <c r="J101" s="213"/>
      <c r="K101" s="213">
        <f t="shared" si="21"/>
        <v>-3.7740524996479508E-2</v>
      </c>
      <c r="L101" s="213"/>
      <c r="M101" s="213"/>
      <c r="N101" s="213"/>
      <c r="O101" s="213">
        <f t="shared" ca="1" si="29"/>
        <v>-4.1980713045257023E-2</v>
      </c>
      <c r="P101" s="213">
        <f t="shared" si="24"/>
        <v>-5.0702358201646133E-2</v>
      </c>
      <c r="Q101" s="246">
        <f t="shared" si="25"/>
        <v>41048.913800000002</v>
      </c>
      <c r="R101" s="211">
        <f t="shared" si="26"/>
        <v>1.6800912003856012E-4</v>
      </c>
      <c r="S101" s="211">
        <v>1</v>
      </c>
      <c r="T101" s="211">
        <f t="shared" si="27"/>
        <v>1.6800912003856012E-4</v>
      </c>
      <c r="U101" s="211" t="e">
        <f>VLOOKUP(C101,'Active 2'!C$41:E$95,3,FALSE)</f>
        <v>#N/A</v>
      </c>
    </row>
    <row r="102" spans="1:21" s="211" customFormat="1" ht="12.95" customHeight="1">
      <c r="A102" s="274" t="s">
        <v>192</v>
      </c>
      <c r="B102" s="275" t="s">
        <v>41</v>
      </c>
      <c r="C102" s="276">
        <v>56067.413860000001</v>
      </c>
      <c r="D102" s="276">
        <v>2.0000000000000001E-4</v>
      </c>
      <c r="E102" s="214">
        <f t="shared" si="22"/>
        <v>31482.39482292606</v>
      </c>
      <c r="F102" s="211">
        <f t="shared" si="28"/>
        <v>31482.5</v>
      </c>
      <c r="G102" s="213">
        <f t="shared" si="23"/>
        <v>-3.7680524997995235E-2</v>
      </c>
      <c r="H102" s="213"/>
      <c r="I102" s="213"/>
      <c r="J102" s="213"/>
      <c r="K102" s="213">
        <f t="shared" si="21"/>
        <v>-3.7680524997995235E-2</v>
      </c>
      <c r="L102" s="213"/>
      <c r="M102" s="213"/>
      <c r="N102" s="213"/>
      <c r="O102" s="213">
        <f t="shared" ca="1" si="29"/>
        <v>-4.1980713045257023E-2</v>
      </c>
      <c r="P102" s="213">
        <f t="shared" si="24"/>
        <v>-5.0702358201646133E-2</v>
      </c>
      <c r="Q102" s="246">
        <f t="shared" si="25"/>
        <v>41048.913860000001</v>
      </c>
      <c r="R102" s="211">
        <f t="shared" si="26"/>
        <v>1.6956813998370501E-4</v>
      </c>
      <c r="S102" s="211">
        <v>1</v>
      </c>
      <c r="T102" s="211">
        <f t="shared" si="27"/>
        <v>1.6956813998370501E-4</v>
      </c>
      <c r="U102" s="211" t="e">
        <f>VLOOKUP(C102,'Active 2'!C$41:E$95,3,FALSE)</f>
        <v>#N/A</v>
      </c>
    </row>
    <row r="103" spans="1:21" s="211" customFormat="1" ht="12.95" customHeight="1">
      <c r="A103" s="277" t="s">
        <v>192</v>
      </c>
      <c r="B103" s="278" t="s">
        <v>41</v>
      </c>
      <c r="C103" s="273">
        <v>56067.413860000001</v>
      </c>
      <c r="D103" s="273">
        <v>2.0000000000000001E-4</v>
      </c>
      <c r="E103" s="214">
        <f t="shared" si="22"/>
        <v>31482.39482292606</v>
      </c>
      <c r="F103" s="211">
        <f t="shared" si="28"/>
        <v>31482.5</v>
      </c>
      <c r="G103" s="213">
        <f t="shared" si="23"/>
        <v>-3.7680524997995235E-2</v>
      </c>
      <c r="H103" s="213"/>
      <c r="I103" s="213"/>
      <c r="J103" s="213"/>
      <c r="K103" s="213">
        <f t="shared" si="21"/>
        <v>-3.7680524997995235E-2</v>
      </c>
      <c r="L103" s="213"/>
      <c r="M103" s="213"/>
      <c r="N103" s="213"/>
      <c r="O103" s="213">
        <f t="shared" ca="1" si="29"/>
        <v>-4.1980713045257023E-2</v>
      </c>
      <c r="P103" s="213">
        <f t="shared" si="24"/>
        <v>-5.0702358201646133E-2</v>
      </c>
      <c r="Q103" s="246">
        <f t="shared" si="25"/>
        <v>41048.913860000001</v>
      </c>
      <c r="R103" s="211">
        <f t="shared" si="26"/>
        <v>1.6956813998370501E-4</v>
      </c>
      <c r="S103" s="211">
        <v>1</v>
      </c>
      <c r="T103" s="211">
        <f t="shared" si="27"/>
        <v>1.6956813998370501E-4</v>
      </c>
      <c r="U103" s="211" t="e">
        <f>VLOOKUP(C103,'Active 2'!C$41:E$95,3,FALSE)</f>
        <v>#N/A</v>
      </c>
    </row>
    <row r="104" spans="1:21" s="211" customFormat="1" ht="12.95" customHeight="1">
      <c r="A104" s="274" t="s">
        <v>192</v>
      </c>
      <c r="B104" s="275" t="s">
        <v>41</v>
      </c>
      <c r="C104" s="276">
        <v>56067.414049999999</v>
      </c>
      <c r="D104" s="276">
        <v>2.9999999999999997E-4</v>
      </c>
      <c r="E104" s="214">
        <f t="shared" si="22"/>
        <v>31482.395353270156</v>
      </c>
      <c r="F104" s="211">
        <f t="shared" si="28"/>
        <v>31482.5</v>
      </c>
      <c r="G104" s="213">
        <f t="shared" si="23"/>
        <v>-3.749052499915706E-2</v>
      </c>
      <c r="H104" s="213"/>
      <c r="I104" s="213"/>
      <c r="J104" s="213"/>
      <c r="K104" s="213">
        <f t="shared" ref="K104:K124" si="30">+G104</f>
        <v>-3.749052499915706E-2</v>
      </c>
      <c r="L104" s="213"/>
      <c r="M104" s="213"/>
      <c r="N104" s="213"/>
      <c r="O104" s="213">
        <f t="shared" ca="1" si="29"/>
        <v>-4.1980713045257023E-2</v>
      </c>
      <c r="P104" s="213">
        <f t="shared" si="24"/>
        <v>-5.0702358201646133E-2</v>
      </c>
      <c r="Q104" s="246">
        <f t="shared" si="25"/>
        <v>41048.914049999999</v>
      </c>
      <c r="R104" s="211">
        <f t="shared" si="26"/>
        <v>1.7455253657039268E-4</v>
      </c>
      <c r="S104" s="211">
        <v>1</v>
      </c>
      <c r="T104" s="211">
        <f t="shared" si="27"/>
        <v>1.7455253657039268E-4</v>
      </c>
      <c r="U104" s="211" t="e">
        <f>VLOOKUP(C104,'Active 2'!C$41:E$95,3,FALSE)</f>
        <v>#N/A</v>
      </c>
    </row>
    <row r="105" spans="1:21" s="211" customFormat="1" ht="12.95" customHeight="1">
      <c r="A105" s="277" t="s">
        <v>192</v>
      </c>
      <c r="B105" s="278" t="s">
        <v>41</v>
      </c>
      <c r="C105" s="273">
        <v>56067.414049999999</v>
      </c>
      <c r="D105" s="273">
        <v>2.9999999999999997E-4</v>
      </c>
      <c r="E105" s="214">
        <f t="shared" si="22"/>
        <v>31482.395353270156</v>
      </c>
      <c r="F105" s="211">
        <f t="shared" si="28"/>
        <v>31482.5</v>
      </c>
      <c r="G105" s="213">
        <f t="shared" si="23"/>
        <v>-3.749052499915706E-2</v>
      </c>
      <c r="H105" s="213"/>
      <c r="I105" s="213"/>
      <c r="J105" s="213"/>
      <c r="K105" s="213">
        <f t="shared" si="30"/>
        <v>-3.749052499915706E-2</v>
      </c>
      <c r="L105" s="213"/>
      <c r="M105" s="213"/>
      <c r="N105" s="213"/>
      <c r="O105" s="213">
        <f t="shared" ca="1" si="29"/>
        <v>-4.1980713045257023E-2</v>
      </c>
      <c r="P105" s="213">
        <f t="shared" si="24"/>
        <v>-5.0702358201646133E-2</v>
      </c>
      <c r="Q105" s="246">
        <f t="shared" si="25"/>
        <v>41048.914049999999</v>
      </c>
      <c r="R105" s="211">
        <f t="shared" si="26"/>
        <v>1.7455253657039268E-4</v>
      </c>
      <c r="S105" s="211">
        <v>1</v>
      </c>
      <c r="T105" s="211">
        <f t="shared" si="27"/>
        <v>1.7455253657039268E-4</v>
      </c>
      <c r="U105" s="211" t="e">
        <f>VLOOKUP(C105,'Active 2'!C$41:E$95,3,FALSE)</f>
        <v>#N/A</v>
      </c>
    </row>
    <row r="106" spans="1:21" s="211" customFormat="1" ht="12.95" customHeight="1">
      <c r="A106" s="274" t="s">
        <v>192</v>
      </c>
      <c r="B106" s="275" t="s">
        <v>41</v>
      </c>
      <c r="C106" s="276">
        <v>56067.414640000003</v>
      </c>
      <c r="D106" s="276">
        <v>2.0000000000000001E-4</v>
      </c>
      <c r="E106" s="214">
        <f t="shared" si="22"/>
        <v>31482.397000128152</v>
      </c>
      <c r="F106" s="211">
        <f t="shared" si="28"/>
        <v>31482.5</v>
      </c>
      <c r="G106" s="213">
        <f t="shared" si="23"/>
        <v>-3.690052499587182E-2</v>
      </c>
      <c r="H106" s="213"/>
      <c r="I106" s="213"/>
      <c r="J106" s="213"/>
      <c r="K106" s="213">
        <f t="shared" si="30"/>
        <v>-3.690052499587182E-2</v>
      </c>
      <c r="L106" s="213"/>
      <c r="M106" s="213"/>
      <c r="N106" s="213"/>
      <c r="O106" s="213">
        <f t="shared" ca="1" si="29"/>
        <v>-4.1980713045257023E-2</v>
      </c>
      <c r="P106" s="213">
        <f t="shared" si="24"/>
        <v>-5.0702358201646133E-2</v>
      </c>
      <c r="Q106" s="246">
        <f t="shared" si="25"/>
        <v>41048.914640000003</v>
      </c>
      <c r="R106" s="211">
        <f t="shared" si="26"/>
        <v>1.9049059984001447E-4</v>
      </c>
      <c r="S106" s="211">
        <v>1</v>
      </c>
      <c r="T106" s="211">
        <f t="shared" si="27"/>
        <v>1.9049059984001447E-4</v>
      </c>
      <c r="U106" s="211" t="e">
        <f>VLOOKUP(C106,'Active 2'!C$41:E$95,3,FALSE)</f>
        <v>#N/A</v>
      </c>
    </row>
    <row r="107" spans="1:21" s="211" customFormat="1" ht="12.95" customHeight="1">
      <c r="A107" s="277" t="s">
        <v>192</v>
      </c>
      <c r="B107" s="278" t="s">
        <v>41</v>
      </c>
      <c r="C107" s="273">
        <v>56067.414640000003</v>
      </c>
      <c r="D107" s="273">
        <v>2.0000000000000001E-4</v>
      </c>
      <c r="E107" s="214">
        <f t="shared" si="22"/>
        <v>31482.397000128152</v>
      </c>
      <c r="F107" s="211">
        <f t="shared" si="28"/>
        <v>31482.5</v>
      </c>
      <c r="G107" s="213">
        <f t="shared" si="23"/>
        <v>-3.690052499587182E-2</v>
      </c>
      <c r="H107" s="213"/>
      <c r="I107" s="213"/>
      <c r="J107" s="213"/>
      <c r="K107" s="213">
        <f t="shared" si="30"/>
        <v>-3.690052499587182E-2</v>
      </c>
      <c r="L107" s="213"/>
      <c r="M107" s="213"/>
      <c r="N107" s="213"/>
      <c r="O107" s="213">
        <f t="shared" ca="1" si="29"/>
        <v>-4.1980713045257023E-2</v>
      </c>
      <c r="P107" s="213">
        <f t="shared" si="24"/>
        <v>-5.0702358201646133E-2</v>
      </c>
      <c r="Q107" s="246">
        <f t="shared" si="25"/>
        <v>41048.914640000003</v>
      </c>
      <c r="R107" s="211">
        <f t="shared" si="26"/>
        <v>1.9049059984001447E-4</v>
      </c>
      <c r="S107" s="211">
        <v>1</v>
      </c>
      <c r="T107" s="211">
        <f t="shared" si="27"/>
        <v>1.9049059984001447E-4</v>
      </c>
      <c r="U107" s="211" t="e">
        <f>VLOOKUP(C107,'Active 2'!C$41:E$95,3,FALSE)</f>
        <v>#N/A</v>
      </c>
    </row>
    <row r="108" spans="1:21" s="211" customFormat="1" ht="12.95" customHeight="1">
      <c r="A108" s="263" t="s">
        <v>408</v>
      </c>
      <c r="B108" s="264" t="s">
        <v>41</v>
      </c>
      <c r="C108" s="265">
        <v>56093.743999999999</v>
      </c>
      <c r="D108" s="265" t="s">
        <v>213</v>
      </c>
      <c r="E108" s="214">
        <f t="shared" si="22"/>
        <v>31555.889740568782</v>
      </c>
      <c r="F108" s="211">
        <f t="shared" si="28"/>
        <v>31556</v>
      </c>
      <c r="G108" s="213">
        <f t="shared" si="23"/>
        <v>-3.9501320003182627E-2</v>
      </c>
      <c r="H108" s="213"/>
      <c r="I108" s="213"/>
      <c r="J108" s="213"/>
      <c r="K108" s="213">
        <f t="shared" si="30"/>
        <v>-3.9501320003182627E-2</v>
      </c>
      <c r="L108" s="213"/>
      <c r="M108" s="213"/>
      <c r="N108" s="213"/>
      <c r="O108" s="213">
        <f t="shared" ca="1" si="29"/>
        <v>-4.2236930022130192E-2</v>
      </c>
      <c r="P108" s="213">
        <f t="shared" si="24"/>
        <v>-5.1191200776392096E-2</v>
      </c>
      <c r="Q108" s="246">
        <f t="shared" si="25"/>
        <v>41075.243999999999</v>
      </c>
      <c r="R108" s="211">
        <f t="shared" si="26"/>
        <v>1.3665331249185239E-4</v>
      </c>
      <c r="S108" s="211">
        <v>1</v>
      </c>
      <c r="T108" s="211">
        <f t="shared" si="27"/>
        <v>1.3665331249185239E-4</v>
      </c>
      <c r="U108" s="211" t="e">
        <f>VLOOKUP(C108,'Active 2'!C$41:E$95,3,FALSE)</f>
        <v>#N/A</v>
      </c>
    </row>
    <row r="109" spans="1:21" s="211" customFormat="1" ht="12.95" customHeight="1">
      <c r="A109" s="263" t="s">
        <v>408</v>
      </c>
      <c r="B109" s="264" t="s">
        <v>41</v>
      </c>
      <c r="C109" s="265">
        <v>56093.743999999999</v>
      </c>
      <c r="D109" s="265" t="s">
        <v>213</v>
      </c>
      <c r="E109" s="214">
        <f t="shared" si="22"/>
        <v>31555.889740568782</v>
      </c>
      <c r="F109" s="211">
        <f t="shared" si="28"/>
        <v>31556</v>
      </c>
      <c r="G109" s="213">
        <f t="shared" si="23"/>
        <v>-3.9501320003182627E-2</v>
      </c>
      <c r="H109" s="213"/>
      <c r="I109" s="213"/>
      <c r="J109" s="213"/>
      <c r="K109" s="213">
        <f t="shared" si="30"/>
        <v>-3.9501320003182627E-2</v>
      </c>
      <c r="L109" s="213"/>
      <c r="M109" s="213"/>
      <c r="N109" s="213"/>
      <c r="O109" s="213">
        <f t="shared" ca="1" si="29"/>
        <v>-4.2236930022130192E-2</v>
      </c>
      <c r="P109" s="213">
        <f t="shared" si="24"/>
        <v>-5.1191200776392096E-2</v>
      </c>
      <c r="Q109" s="246">
        <f t="shared" si="25"/>
        <v>41075.243999999999</v>
      </c>
      <c r="R109" s="211">
        <f t="shared" si="26"/>
        <v>1.3665331249185239E-4</v>
      </c>
      <c r="S109" s="211">
        <v>1</v>
      </c>
      <c r="T109" s="211">
        <f t="shared" si="27"/>
        <v>1.3665331249185239E-4</v>
      </c>
      <c r="U109" s="211" t="e">
        <f>VLOOKUP(C109,'Active 2'!C$41:E$95,3,FALSE)</f>
        <v>#N/A</v>
      </c>
    </row>
    <row r="110" spans="1:21" s="211" customFormat="1" ht="12.95" customHeight="1">
      <c r="A110" s="279" t="s">
        <v>2</v>
      </c>
      <c r="B110" s="280" t="s">
        <v>41</v>
      </c>
      <c r="C110" s="279">
        <v>56781.051099999808</v>
      </c>
      <c r="D110" s="279" t="s">
        <v>366</v>
      </c>
      <c r="E110" s="214">
        <f t="shared" si="22"/>
        <v>33474.359551581801</v>
      </c>
      <c r="F110" s="211">
        <f t="shared" si="28"/>
        <v>33474.5</v>
      </c>
      <c r="G110" s="213">
        <f t="shared" si="23"/>
        <v>-5.0316765191382729E-2</v>
      </c>
      <c r="H110" s="213"/>
      <c r="I110" s="213"/>
      <c r="J110" s="213"/>
      <c r="K110" s="213">
        <f t="shared" si="30"/>
        <v>-5.0316765191382729E-2</v>
      </c>
      <c r="L110" s="213"/>
      <c r="M110" s="213"/>
      <c r="N110" s="213"/>
      <c r="O110" s="213">
        <f t="shared" ca="1" si="29"/>
        <v>-4.8924716010309191E-2</v>
      </c>
      <c r="P110" s="213">
        <f t="shared" si="24"/>
        <v>-6.4605146409870834E-2</v>
      </c>
      <c r="Q110" s="246">
        <f t="shared" si="25"/>
        <v>41762.551099999808</v>
      </c>
      <c r="R110" s="211">
        <f t="shared" si="26"/>
        <v>2.0415783784484364E-4</v>
      </c>
      <c r="S110" s="211">
        <v>1</v>
      </c>
      <c r="T110" s="211">
        <f t="shared" si="27"/>
        <v>2.0415783784484364E-4</v>
      </c>
      <c r="U110" s="211" t="e">
        <f>VLOOKUP(C110,'Active 2'!C$41:E$95,3,FALSE)</f>
        <v>#N/A</v>
      </c>
    </row>
    <row r="111" spans="1:21" s="211" customFormat="1" ht="12.95" customHeight="1">
      <c r="A111" s="279" t="s">
        <v>2</v>
      </c>
      <c r="B111" s="280" t="s">
        <v>41</v>
      </c>
      <c r="C111" s="279">
        <v>56788.217199999839</v>
      </c>
      <c r="D111" s="279" t="s">
        <v>121</v>
      </c>
      <c r="E111" s="214">
        <f t="shared" si="22"/>
        <v>33494.362177064308</v>
      </c>
      <c r="F111" s="211">
        <f t="shared" si="28"/>
        <v>33494.5</v>
      </c>
      <c r="G111" s="213">
        <f t="shared" si="23"/>
        <v>-4.9376165159628727E-2</v>
      </c>
      <c r="H111" s="213"/>
      <c r="I111" s="213"/>
      <c r="J111" s="213"/>
      <c r="K111" s="213">
        <f t="shared" si="30"/>
        <v>-4.9376165159628727E-2</v>
      </c>
      <c r="L111" s="213"/>
      <c r="M111" s="213"/>
      <c r="N111" s="213"/>
      <c r="O111" s="213">
        <f t="shared" ca="1" si="29"/>
        <v>-4.8994434915580795E-2</v>
      </c>
      <c r="P111" s="213">
        <f t="shared" si="24"/>
        <v>-6.4751620566326828E-2</v>
      </c>
      <c r="Q111" s="246">
        <f t="shared" si="25"/>
        <v>41769.717199999839</v>
      </c>
      <c r="R111" s="211">
        <f t="shared" si="26"/>
        <v>2.364046289633619E-4</v>
      </c>
      <c r="S111" s="211">
        <v>1</v>
      </c>
      <c r="T111" s="211">
        <f t="shared" si="27"/>
        <v>2.364046289633619E-4</v>
      </c>
      <c r="U111" s="211" t="e">
        <f>VLOOKUP(C111,'Active 2'!C$41:E$95,3,FALSE)</f>
        <v>#N/A</v>
      </c>
    </row>
    <row r="112" spans="1:21" s="211" customFormat="1" ht="12.95" customHeight="1">
      <c r="A112" s="281" t="s">
        <v>439</v>
      </c>
      <c r="B112" s="282" t="s">
        <v>41</v>
      </c>
      <c r="C112" s="281">
        <v>57164.027399999999</v>
      </c>
      <c r="D112" s="281" t="s">
        <v>366</v>
      </c>
      <c r="E112" s="214">
        <f t="shared" si="22"/>
        <v>34543.35544858918</v>
      </c>
      <c r="F112" s="211">
        <f t="shared" si="28"/>
        <v>34543.5</v>
      </c>
      <c r="G112" s="213">
        <f t="shared" si="23"/>
        <v>-5.1786695003102068E-2</v>
      </c>
      <c r="H112" s="213"/>
      <c r="I112" s="213"/>
      <c r="J112" s="213"/>
      <c r="K112" s="213">
        <f t="shared" si="30"/>
        <v>-5.1786695003102068E-2</v>
      </c>
      <c r="L112" s="213"/>
      <c r="M112" s="213"/>
      <c r="N112" s="213"/>
      <c r="O112" s="213">
        <f t="shared" ca="1" si="29"/>
        <v>-5.2651191497076644E-2</v>
      </c>
      <c r="P112" s="213">
        <f t="shared" si="24"/>
        <v>-7.2626138214398672E-2</v>
      </c>
      <c r="Q112" s="246">
        <f t="shared" si="25"/>
        <v>42145.527399999999</v>
      </c>
      <c r="R112" s="211">
        <f t="shared" si="26"/>
        <v>4.3428239335685612E-4</v>
      </c>
      <c r="S112" s="211">
        <v>1</v>
      </c>
      <c r="T112" s="211">
        <f t="shared" si="27"/>
        <v>4.3428239335685612E-4</v>
      </c>
      <c r="U112" s="211" t="e">
        <f>VLOOKUP(C112,'Active 2'!C$41:E$95,3,FALSE)</f>
        <v>#N/A</v>
      </c>
    </row>
    <row r="113" spans="1:21" s="211" customFormat="1" ht="12.95" customHeight="1">
      <c r="A113" s="279" t="s">
        <v>1</v>
      </c>
      <c r="B113" s="280" t="s">
        <v>39</v>
      </c>
      <c r="C113" s="279">
        <v>57527.111900000004</v>
      </c>
      <c r="D113" s="279" t="s">
        <v>121</v>
      </c>
      <c r="E113" s="214">
        <f t="shared" si="22"/>
        <v>35556.827668062775</v>
      </c>
      <c r="F113" s="211">
        <f t="shared" si="28"/>
        <v>35557</v>
      </c>
      <c r="G113" s="213">
        <f t="shared" si="23"/>
        <v>-6.1739289994875435E-2</v>
      </c>
      <c r="H113" s="213"/>
      <c r="I113" s="213"/>
      <c r="J113" s="213"/>
      <c r="K113" s="213">
        <f t="shared" si="30"/>
        <v>-6.1739289994875435E-2</v>
      </c>
      <c r="L113" s="213"/>
      <c r="M113" s="213"/>
      <c r="N113" s="213"/>
      <c r="O113" s="213">
        <f t="shared" ca="1" si="29"/>
        <v>-5.6184197021715371E-2</v>
      </c>
      <c r="P113" s="213">
        <f t="shared" si="24"/>
        <v>-8.0591975040675196E-2</v>
      </c>
      <c r="Q113" s="246">
        <f t="shared" si="25"/>
        <v>42508.611900000004</v>
      </c>
      <c r="R113" s="211">
        <f t="shared" si="26"/>
        <v>3.5542373343612195E-4</v>
      </c>
      <c r="S113" s="211">
        <v>1</v>
      </c>
      <c r="T113" s="211">
        <f t="shared" si="27"/>
        <v>3.5542373343612195E-4</v>
      </c>
      <c r="U113" s="211" t="e">
        <f>VLOOKUP(C113,'Active 2'!C$41:E$95,3,FALSE)</f>
        <v>#N/A</v>
      </c>
    </row>
    <row r="114" spans="1:21" s="211" customFormat="1" ht="12.95" customHeight="1">
      <c r="A114" s="279" t="s">
        <v>1</v>
      </c>
      <c r="B114" s="280" t="s">
        <v>39</v>
      </c>
      <c r="C114" s="279">
        <v>57527.1126</v>
      </c>
      <c r="D114" s="279" t="s">
        <v>58</v>
      </c>
      <c r="E114" s="214">
        <f t="shared" si="22"/>
        <v>35556.829621962075</v>
      </c>
      <c r="F114" s="211">
        <f t="shared" si="28"/>
        <v>35557</v>
      </c>
      <c r="G114" s="213">
        <f t="shared" si="23"/>
        <v>-6.1039289998007007E-2</v>
      </c>
      <c r="H114" s="213"/>
      <c r="I114" s="213"/>
      <c r="J114" s="213"/>
      <c r="K114" s="213">
        <f t="shared" si="30"/>
        <v>-6.1039289998007007E-2</v>
      </c>
      <c r="L114" s="213"/>
      <c r="M114" s="213"/>
      <c r="N114" s="213"/>
      <c r="O114" s="213">
        <f t="shared" ca="1" si="29"/>
        <v>-5.6184197021715371E-2</v>
      </c>
      <c r="P114" s="213">
        <f t="shared" si="24"/>
        <v>-8.0591975040675196E-2</v>
      </c>
      <c r="Q114" s="246">
        <f t="shared" si="25"/>
        <v>42508.6126</v>
      </c>
      <c r="R114" s="211">
        <f t="shared" si="26"/>
        <v>3.8230749237778028E-4</v>
      </c>
      <c r="S114" s="211">
        <v>1</v>
      </c>
      <c r="T114" s="211">
        <f t="shared" si="27"/>
        <v>3.8230749237778028E-4</v>
      </c>
      <c r="U114" s="211" t="e">
        <f>VLOOKUP(C114,'Active 2'!C$41:E$95,3,FALSE)</f>
        <v>#N/A</v>
      </c>
    </row>
    <row r="115" spans="1:21" s="211" customFormat="1" ht="12.95" customHeight="1">
      <c r="A115" s="279" t="s">
        <v>1</v>
      </c>
      <c r="B115" s="280" t="s">
        <v>39</v>
      </c>
      <c r="C115" s="279">
        <v>57527.113299999997</v>
      </c>
      <c r="D115" s="279" t="s">
        <v>366</v>
      </c>
      <c r="E115" s="214">
        <f t="shared" si="22"/>
        <v>35556.831575861375</v>
      </c>
      <c r="F115" s="211">
        <f t="shared" si="28"/>
        <v>35557</v>
      </c>
      <c r="G115" s="213">
        <f t="shared" si="23"/>
        <v>-6.0339290001138579E-2</v>
      </c>
      <c r="H115" s="213"/>
      <c r="I115" s="213"/>
      <c r="J115" s="213"/>
      <c r="K115" s="213">
        <f t="shared" si="30"/>
        <v>-6.0339290001138579E-2</v>
      </c>
      <c r="L115" s="213"/>
      <c r="M115" s="213"/>
      <c r="N115" s="213"/>
      <c r="O115" s="213">
        <f t="shared" ca="1" si="29"/>
        <v>-5.6184197021715371E-2</v>
      </c>
      <c r="P115" s="213">
        <f t="shared" si="24"/>
        <v>-8.0591975040675196E-2</v>
      </c>
      <c r="Q115" s="246">
        <f t="shared" si="25"/>
        <v>42508.613299999997</v>
      </c>
      <c r="R115" s="211">
        <f t="shared" si="26"/>
        <v>4.1017125131067027E-4</v>
      </c>
      <c r="S115" s="211">
        <v>1</v>
      </c>
      <c r="T115" s="211">
        <f t="shared" si="27"/>
        <v>4.1017125131067027E-4</v>
      </c>
      <c r="U115" s="211" t="e">
        <f>VLOOKUP(C115,'Active 2'!C$41:E$95,3,FALSE)</f>
        <v>#N/A</v>
      </c>
    </row>
    <row r="116" spans="1:21" s="211" customFormat="1" ht="12.95" customHeight="1">
      <c r="A116" s="279" t="s">
        <v>0</v>
      </c>
      <c r="B116" s="280" t="s">
        <v>41</v>
      </c>
      <c r="C116" s="279">
        <v>58335.691599999998</v>
      </c>
      <c r="D116" s="279">
        <v>4.0000000000000002E-4</v>
      </c>
      <c r="E116" s="214">
        <f t="shared" si="22"/>
        <v>37813.803835264283</v>
      </c>
      <c r="F116" s="211">
        <f t="shared" si="28"/>
        <v>37814</v>
      </c>
      <c r="G116" s="213">
        <f t="shared" si="23"/>
        <v>-7.0277580001857132E-2</v>
      </c>
      <c r="H116" s="213"/>
      <c r="I116" s="213"/>
      <c r="J116" s="213"/>
      <c r="K116" s="213">
        <f t="shared" si="30"/>
        <v>-7.0277580001857132E-2</v>
      </c>
      <c r="L116" s="213"/>
      <c r="M116" s="213"/>
      <c r="N116" s="213"/>
      <c r="O116" s="213">
        <f t="shared" ca="1" si="29"/>
        <v>-6.4051975481616341E-2</v>
      </c>
      <c r="P116" s="213">
        <f t="shared" si="24"/>
        <v>-9.959489014894507E-2</v>
      </c>
      <c r="Q116" s="246">
        <f t="shared" si="25"/>
        <v>43317.191599999998</v>
      </c>
      <c r="R116" s="211">
        <f t="shared" si="26"/>
        <v>8.5950467426054538E-4</v>
      </c>
      <c r="S116" s="211">
        <v>1</v>
      </c>
      <c r="T116" s="211">
        <f t="shared" si="27"/>
        <v>8.5950467426054538E-4</v>
      </c>
      <c r="U116" s="211" t="e">
        <f>VLOOKUP(C116,'Active 2'!C$41:E$95,3,FALSE)</f>
        <v>#N/A</v>
      </c>
    </row>
    <row r="117" spans="1:21" s="211" customFormat="1" ht="12.95" customHeight="1">
      <c r="A117" s="283" t="s">
        <v>440</v>
      </c>
      <c r="B117" s="282" t="s">
        <v>39</v>
      </c>
      <c r="C117" s="281">
        <v>58946.159</v>
      </c>
      <c r="D117" s="281" t="s">
        <v>366</v>
      </c>
      <c r="E117" s="214">
        <f t="shared" ref="E117:E124" si="31">+(C117-C$7)/C$8</f>
        <v>39517.792165237799</v>
      </c>
      <c r="F117" s="211">
        <f t="shared" si="28"/>
        <v>39518</v>
      </c>
      <c r="G117" s="213">
        <f t="shared" ref="G117:G124" si="32">+C117-(C$7+F117*C$8)</f>
        <v>-7.4458460003370419E-2</v>
      </c>
      <c r="H117" s="213"/>
      <c r="I117" s="213"/>
      <c r="J117" s="213"/>
      <c r="K117" s="213">
        <f t="shared" si="30"/>
        <v>-7.4458460003370419E-2</v>
      </c>
      <c r="L117" s="213"/>
      <c r="M117" s="213"/>
      <c r="N117" s="213"/>
      <c r="O117" s="213">
        <f t="shared" ca="1" si="29"/>
        <v>-6.9992026210757341E-2</v>
      </c>
      <c r="P117" s="213">
        <f t="shared" ref="P117:P124" si="33">+D$11+D$12*F117+D$13*F117^2</f>
        <v>-0.11509712398088159</v>
      </c>
      <c r="Q117" s="246">
        <f t="shared" ref="Q117:Q124" si="34">+C117-15018.5</f>
        <v>43927.659</v>
      </c>
      <c r="R117" s="211">
        <f t="shared" ref="R117:R124" si="35">+(P117-G117)^2</f>
        <v>1.6515010098770643E-3</v>
      </c>
      <c r="S117" s="211">
        <v>1</v>
      </c>
      <c r="T117" s="211">
        <f t="shared" ref="T117:T124" si="36">S117*R117</f>
        <v>1.6515010098770643E-3</v>
      </c>
      <c r="U117" s="211" t="e">
        <f>VLOOKUP(C117,'Active 2'!C$41:E$95,3,FALSE)</f>
        <v>#N/A</v>
      </c>
    </row>
    <row r="118" spans="1:21" s="211" customFormat="1" ht="12.95" customHeight="1">
      <c r="A118" s="283" t="s">
        <v>440</v>
      </c>
      <c r="B118" s="282" t="s">
        <v>39</v>
      </c>
      <c r="C118" s="281">
        <v>58946.161</v>
      </c>
      <c r="D118" s="281" t="s">
        <v>58</v>
      </c>
      <c r="E118" s="214">
        <f t="shared" si="31"/>
        <v>39517.797747807257</v>
      </c>
      <c r="F118" s="211">
        <f t="shared" si="28"/>
        <v>39518</v>
      </c>
      <c r="G118" s="213">
        <f t="shared" si="32"/>
        <v>-7.2458460002962966E-2</v>
      </c>
      <c r="H118" s="213"/>
      <c r="I118" s="213"/>
      <c r="J118" s="213"/>
      <c r="K118" s="213">
        <f t="shared" si="30"/>
        <v>-7.2458460002962966E-2</v>
      </c>
      <c r="L118" s="213"/>
      <c r="M118" s="213"/>
      <c r="N118" s="213"/>
      <c r="O118" s="213">
        <f t="shared" ca="1" si="29"/>
        <v>-6.9992026210757341E-2</v>
      </c>
      <c r="P118" s="213">
        <f t="shared" si="33"/>
        <v>-0.11509712398088159</v>
      </c>
      <c r="Q118" s="246">
        <f t="shared" si="34"/>
        <v>43927.661</v>
      </c>
      <c r="R118" s="211">
        <f t="shared" si="35"/>
        <v>1.8180556658218556E-3</v>
      </c>
      <c r="S118" s="211">
        <v>1</v>
      </c>
      <c r="T118" s="211">
        <f t="shared" si="36"/>
        <v>1.8180556658218556E-3</v>
      </c>
      <c r="U118" s="211" t="e">
        <f>VLOOKUP(C118,'Active 2'!C$41:E$95,3,FALSE)</f>
        <v>#N/A</v>
      </c>
    </row>
    <row r="119" spans="1:21" s="211" customFormat="1" ht="12.95" customHeight="1">
      <c r="A119" s="283" t="s">
        <v>440</v>
      </c>
      <c r="B119" s="282" t="s">
        <v>39</v>
      </c>
      <c r="C119" s="281">
        <v>58946.161</v>
      </c>
      <c r="D119" s="281" t="s">
        <v>121</v>
      </c>
      <c r="E119" s="214">
        <f t="shared" si="31"/>
        <v>39517.797747807257</v>
      </c>
      <c r="F119" s="211">
        <f t="shared" si="28"/>
        <v>39518</v>
      </c>
      <c r="G119" s="213">
        <f t="shared" si="32"/>
        <v>-7.2458460002962966E-2</v>
      </c>
      <c r="H119" s="213"/>
      <c r="I119" s="213"/>
      <c r="J119" s="213"/>
      <c r="K119" s="213">
        <f t="shared" si="30"/>
        <v>-7.2458460002962966E-2</v>
      </c>
      <c r="L119" s="213"/>
      <c r="M119" s="213"/>
      <c r="N119" s="213"/>
      <c r="O119" s="213">
        <f t="shared" ca="1" si="29"/>
        <v>-6.9992026210757341E-2</v>
      </c>
      <c r="P119" s="213">
        <f t="shared" si="33"/>
        <v>-0.11509712398088159</v>
      </c>
      <c r="Q119" s="246">
        <f t="shared" si="34"/>
        <v>43927.661</v>
      </c>
      <c r="R119" s="211">
        <f t="shared" si="35"/>
        <v>1.8180556658218556E-3</v>
      </c>
      <c r="S119" s="211">
        <v>1</v>
      </c>
      <c r="T119" s="211">
        <f t="shared" si="36"/>
        <v>1.8180556658218556E-3</v>
      </c>
      <c r="U119" s="211" t="e">
        <f>VLOOKUP(C119,'Active 2'!C$41:E$95,3,FALSE)</f>
        <v>#N/A</v>
      </c>
    </row>
    <row r="120" spans="1:21" s="211" customFormat="1" ht="12.95" customHeight="1">
      <c r="A120" s="283" t="s">
        <v>440</v>
      </c>
      <c r="B120" s="282" t="s">
        <v>39</v>
      </c>
      <c r="C120" s="281">
        <v>58965.147199999999</v>
      </c>
      <c r="D120" s="281" t="s">
        <v>366</v>
      </c>
      <c r="E120" s="214">
        <f t="shared" si="31"/>
        <v>39570.793637891707</v>
      </c>
      <c r="F120" s="211">
        <f t="shared" si="28"/>
        <v>39571</v>
      </c>
      <c r="G120" s="213">
        <f t="shared" si="32"/>
        <v>-7.3930869999458082E-2</v>
      </c>
      <c r="H120" s="213"/>
      <c r="I120" s="213"/>
      <c r="J120" s="213"/>
      <c r="K120" s="213">
        <f t="shared" si="30"/>
        <v>-7.3930869999458082E-2</v>
      </c>
      <c r="L120" s="213"/>
      <c r="M120" s="213"/>
      <c r="N120" s="213"/>
      <c r="O120" s="213">
        <f t="shared" ca="1" si="29"/>
        <v>-7.0176781309727099E-2</v>
      </c>
      <c r="P120" s="213">
        <f t="shared" si="33"/>
        <v>-0.11559523403355262</v>
      </c>
      <c r="Q120" s="246">
        <f t="shared" si="34"/>
        <v>43946.647199999999</v>
      </c>
      <c r="R120" s="211">
        <f t="shared" si="35"/>
        <v>1.7359192303655509E-3</v>
      </c>
      <c r="S120" s="211">
        <v>1</v>
      </c>
      <c r="T120" s="211">
        <f t="shared" si="36"/>
        <v>1.7359192303655509E-3</v>
      </c>
      <c r="U120" s="211" t="e">
        <f>VLOOKUP(C120,'Active 2'!C$41:E$95,3,FALSE)</f>
        <v>#N/A</v>
      </c>
    </row>
    <row r="121" spans="1:21" s="211" customFormat="1" ht="12.95" customHeight="1">
      <c r="A121" s="283" t="s">
        <v>440</v>
      </c>
      <c r="B121" s="282" t="s">
        <v>39</v>
      </c>
      <c r="C121" s="281">
        <v>58965.147400000002</v>
      </c>
      <c r="D121" s="281" t="s">
        <v>121</v>
      </c>
      <c r="E121" s="214">
        <f t="shared" si="31"/>
        <v>39570.794196148665</v>
      </c>
      <c r="F121" s="211">
        <f t="shared" si="28"/>
        <v>39571</v>
      </c>
      <c r="G121" s="213">
        <f t="shared" si="32"/>
        <v>-7.3730869997234549E-2</v>
      </c>
      <c r="H121" s="213"/>
      <c r="I121" s="213"/>
      <c r="J121" s="213"/>
      <c r="K121" s="213">
        <f t="shared" si="30"/>
        <v>-7.3730869997234549E-2</v>
      </c>
      <c r="L121" s="213"/>
      <c r="M121" s="213"/>
      <c r="N121" s="213"/>
      <c r="O121" s="213">
        <f t="shared" ca="1" si="29"/>
        <v>-7.0176781309727099E-2</v>
      </c>
      <c r="P121" s="213">
        <f t="shared" si="33"/>
        <v>-0.11559523403355262</v>
      </c>
      <c r="Q121" s="246">
        <f t="shared" si="34"/>
        <v>43946.647400000002</v>
      </c>
      <c r="R121" s="211">
        <f t="shared" si="35"/>
        <v>1.7526249761653622E-3</v>
      </c>
      <c r="S121" s="211">
        <v>1</v>
      </c>
      <c r="T121" s="211">
        <f t="shared" si="36"/>
        <v>1.7526249761653622E-3</v>
      </c>
      <c r="U121" s="211" t="e">
        <f>VLOOKUP(C121,'Active 2'!C$41:E$95,3,FALSE)</f>
        <v>#N/A</v>
      </c>
    </row>
    <row r="122" spans="1:21" s="211" customFormat="1" ht="12.95" customHeight="1">
      <c r="A122" s="283" t="s">
        <v>440</v>
      </c>
      <c r="B122" s="282" t="s">
        <v>39</v>
      </c>
      <c r="C122" s="281">
        <v>58965.150099999999</v>
      </c>
      <c r="D122" s="281" t="s">
        <v>58</v>
      </c>
      <c r="E122" s="214">
        <f t="shared" si="31"/>
        <v>39570.801732617416</v>
      </c>
      <c r="F122" s="211">
        <f t="shared" si="28"/>
        <v>39571</v>
      </c>
      <c r="G122" s="213">
        <f t="shared" si="32"/>
        <v>-7.1030869999958668E-2</v>
      </c>
      <c r="H122" s="213"/>
      <c r="I122" s="213"/>
      <c r="J122" s="213"/>
      <c r="K122" s="213">
        <f t="shared" si="30"/>
        <v>-7.1030869999958668E-2</v>
      </c>
      <c r="L122" s="213"/>
      <c r="M122" s="213"/>
      <c r="N122" s="213"/>
      <c r="O122" s="213">
        <f t="shared" ca="1" si="29"/>
        <v>-7.0176781309727099E-2</v>
      </c>
      <c r="P122" s="213">
        <f t="shared" si="33"/>
        <v>-0.11559523403355262</v>
      </c>
      <c r="Q122" s="246">
        <f t="shared" si="34"/>
        <v>43946.650099999999</v>
      </c>
      <c r="R122" s="211">
        <f t="shared" si="35"/>
        <v>1.9859825417186828E-3</v>
      </c>
      <c r="S122" s="211">
        <v>1</v>
      </c>
      <c r="T122" s="211">
        <f t="shared" si="36"/>
        <v>1.9859825417186828E-3</v>
      </c>
      <c r="U122" s="211" t="e">
        <f>VLOOKUP(C122,'Active 2'!C$41:E$95,3,FALSE)</f>
        <v>#N/A</v>
      </c>
    </row>
    <row r="123" spans="1:21" s="211" customFormat="1" ht="12.95" customHeight="1">
      <c r="A123" s="283" t="s">
        <v>440</v>
      </c>
      <c r="B123" s="282" t="s">
        <v>41</v>
      </c>
      <c r="C123" s="281">
        <v>58993.991999999998</v>
      </c>
      <c r="D123" s="281" t="s">
        <v>366</v>
      </c>
      <c r="E123" s="214">
        <f t="shared" si="31"/>
        <v>39651.307687586122</v>
      </c>
      <c r="F123" s="211">
        <f t="shared" si="28"/>
        <v>39651.5</v>
      </c>
      <c r="G123" s="213">
        <f t="shared" si="32"/>
        <v>-6.8897454999387264E-2</v>
      </c>
      <c r="H123" s="213"/>
      <c r="I123" s="213"/>
      <c r="J123" s="213"/>
      <c r="K123" s="213">
        <f t="shared" si="30"/>
        <v>-6.8897454999387264E-2</v>
      </c>
      <c r="L123" s="213"/>
      <c r="M123" s="213"/>
      <c r="N123" s="213"/>
      <c r="O123" s="213">
        <f t="shared" ca="1" si="29"/>
        <v>-7.0457399903445322E-2</v>
      </c>
      <c r="P123" s="213">
        <f t="shared" si="33"/>
        <v>-0.11635363694963421</v>
      </c>
      <c r="Q123" s="246">
        <f t="shared" si="34"/>
        <v>43975.491999999998</v>
      </c>
      <c r="R123" s="211">
        <f t="shared" si="35"/>
        <v>2.2520892052949443E-3</v>
      </c>
      <c r="S123" s="211">
        <v>1</v>
      </c>
      <c r="T123" s="211">
        <f t="shared" si="36"/>
        <v>2.2520892052949443E-3</v>
      </c>
      <c r="U123" s="211" t="e">
        <f>VLOOKUP(C123,'Active 2'!C$41:E$95,3,FALSE)</f>
        <v>#N/A</v>
      </c>
    </row>
    <row r="124" spans="1:21" s="211" customFormat="1" ht="12.95" customHeight="1">
      <c r="A124" s="283" t="s">
        <v>440</v>
      </c>
      <c r="B124" s="282" t="s">
        <v>41</v>
      </c>
      <c r="C124" s="281">
        <v>58999.006999999998</v>
      </c>
      <c r="D124" s="281" t="s">
        <v>366</v>
      </c>
      <c r="E124" s="214">
        <f t="shared" si="31"/>
        <v>39665.305980492209</v>
      </c>
      <c r="F124" s="211">
        <f t="shared" si="28"/>
        <v>39665.5</v>
      </c>
      <c r="G124" s="213">
        <f t="shared" si="32"/>
        <v>-6.9509035005467013E-2</v>
      </c>
      <c r="H124" s="213"/>
      <c r="I124" s="213"/>
      <c r="J124" s="213"/>
      <c r="K124" s="213">
        <f t="shared" si="30"/>
        <v>-6.9509035005467013E-2</v>
      </c>
      <c r="L124" s="213"/>
      <c r="M124" s="213"/>
      <c r="N124" s="213"/>
      <c r="O124" s="213">
        <f t="shared" ca="1" si="29"/>
        <v>-7.0506203137135459E-2</v>
      </c>
      <c r="P124" s="213">
        <f t="shared" si="33"/>
        <v>-0.11648575956846283</v>
      </c>
      <c r="Q124" s="246">
        <f t="shared" si="34"/>
        <v>43980.506999999998</v>
      </c>
      <c r="R124" s="211">
        <f t="shared" si="35"/>
        <v>2.2068126506675743E-3</v>
      </c>
      <c r="S124" s="211">
        <v>1</v>
      </c>
      <c r="T124" s="211">
        <f t="shared" si="36"/>
        <v>2.2068126506675743E-3</v>
      </c>
      <c r="U124" s="211" t="e">
        <f>VLOOKUP(C124,'Active 2'!C$41:E$95,3,FALSE)</f>
        <v>#N/A</v>
      </c>
    </row>
    <row r="125" spans="1:21" s="211" customFormat="1" ht="12.95" customHeight="1">
      <c r="A125" s="205" t="s">
        <v>441</v>
      </c>
      <c r="B125" s="206" t="s">
        <v>39</v>
      </c>
      <c r="C125" s="207">
        <v>59264.296000000089</v>
      </c>
      <c r="D125" s="205" t="s">
        <v>366</v>
      </c>
      <c r="E125" s="214">
        <f t="shared" ref="E125:E129" si="37">+(C125-C$7)/C$8</f>
        <v>40405.803114443173</v>
      </c>
      <c r="F125" s="211">
        <f t="shared" si="28"/>
        <v>40406</v>
      </c>
      <c r="G125" s="213">
        <f t="shared" ref="G125:G129" si="38">+C125-(C$7+F125*C$8)</f>
        <v>-7.0535819912038278E-2</v>
      </c>
      <c r="H125" s="213"/>
      <c r="I125" s="213"/>
      <c r="J125" s="213"/>
      <c r="K125" s="213">
        <f t="shared" ref="K125:K129" si="39">+G125</f>
        <v>-7.0535819912038278E-2</v>
      </c>
      <c r="L125" s="213"/>
      <c r="M125" s="213"/>
      <c r="N125" s="213"/>
      <c r="O125" s="213">
        <f t="shared" ref="O125:O129" ca="1" si="40">+C$11+C$12*F125</f>
        <v>-7.3087545604816756E-2</v>
      </c>
      <c r="P125" s="213">
        <f t="shared" ref="P125:P129" si="41">+D$11+D$12*F125+D$13*F125^2</f>
        <v>-0.12356973696717885</v>
      </c>
      <c r="Q125" s="246">
        <f t="shared" ref="Q125:Q129" si="42">+C125-15018.5</f>
        <v>44245.796000000089</v>
      </c>
      <c r="R125" s="211">
        <f t="shared" ref="R125:R129" si="43">+(P125-G125)^2</f>
        <v>2.81259635821153E-3</v>
      </c>
      <c r="S125" s="211">
        <v>1</v>
      </c>
      <c r="T125" s="211">
        <f t="shared" ref="T125:T129" si="44">S125*R125</f>
        <v>2.81259635821153E-3</v>
      </c>
      <c r="U125" s="211" t="e">
        <f>VLOOKUP(C125,'Active 2'!C$41:E$95,3,FALSE)</f>
        <v>#N/A</v>
      </c>
    </row>
    <row r="126" spans="1:21" s="211" customFormat="1" ht="12.95" customHeight="1">
      <c r="A126" s="205" t="s">
        <v>441</v>
      </c>
      <c r="B126" s="206" t="s">
        <v>39</v>
      </c>
      <c r="C126" s="207">
        <v>59264.297999999952</v>
      </c>
      <c r="D126" s="205" t="s">
        <v>58</v>
      </c>
      <c r="E126" s="214">
        <f t="shared" si="37"/>
        <v>40405.808697012246</v>
      </c>
      <c r="F126" s="211">
        <f t="shared" si="28"/>
        <v>40406</v>
      </c>
      <c r="G126" s="213">
        <f t="shared" si="38"/>
        <v>-6.8535820049874019E-2</v>
      </c>
      <c r="H126" s="213"/>
      <c r="I126" s="213"/>
      <c r="J126" s="213"/>
      <c r="K126" s="213">
        <f t="shared" si="39"/>
        <v>-6.8535820049874019E-2</v>
      </c>
      <c r="L126" s="213"/>
      <c r="M126" s="213"/>
      <c r="N126" s="213"/>
      <c r="O126" s="213">
        <f t="shared" ca="1" si="40"/>
        <v>-7.3087545604816756E-2</v>
      </c>
      <c r="P126" s="213">
        <f t="shared" si="41"/>
        <v>-0.12356973696717885</v>
      </c>
      <c r="Q126" s="246">
        <f t="shared" si="42"/>
        <v>44245.797999999952</v>
      </c>
      <c r="R126" s="211">
        <f t="shared" si="43"/>
        <v>3.028732011260811E-3</v>
      </c>
      <c r="S126" s="211">
        <v>1</v>
      </c>
      <c r="T126" s="211">
        <f t="shared" si="44"/>
        <v>3.028732011260811E-3</v>
      </c>
      <c r="U126" s="211" t="e">
        <f>VLOOKUP(C126,'Active 2'!C$41:E$95,3,FALSE)</f>
        <v>#N/A</v>
      </c>
    </row>
    <row r="127" spans="1:21" s="211" customFormat="1" ht="12.95" customHeight="1">
      <c r="A127" s="205" t="s">
        <v>441</v>
      </c>
      <c r="B127" s="206" t="s">
        <v>39</v>
      </c>
      <c r="C127" s="207">
        <v>59292.23900000006</v>
      </c>
      <c r="D127" s="205" t="s">
        <v>442</v>
      </c>
      <c r="E127" s="214">
        <f t="shared" si="37"/>
        <v>40483.799983570665</v>
      </c>
      <c r="F127" s="211">
        <f t="shared" si="28"/>
        <v>40484</v>
      </c>
      <c r="G127" s="213">
        <f t="shared" si="38"/>
        <v>-7.1657479944406077E-2</v>
      </c>
      <c r="H127" s="213"/>
      <c r="I127" s="213"/>
      <c r="J127" s="213"/>
      <c r="K127" s="213">
        <f t="shared" si="39"/>
        <v>-7.1657479944406077E-2</v>
      </c>
      <c r="L127" s="213"/>
      <c r="M127" s="213"/>
      <c r="N127" s="213"/>
      <c r="O127" s="213">
        <f t="shared" ca="1" si="40"/>
        <v>-7.3359449335376026E-2</v>
      </c>
      <c r="P127" s="213">
        <f t="shared" si="41"/>
        <v>-0.12432685038101701</v>
      </c>
      <c r="Q127" s="246">
        <f t="shared" si="42"/>
        <v>44273.73900000006</v>
      </c>
      <c r="R127" s="211">
        <f t="shared" si="43"/>
        <v>2.7740625821889458E-3</v>
      </c>
      <c r="S127" s="211">
        <v>1</v>
      </c>
      <c r="T127" s="211">
        <f t="shared" si="44"/>
        <v>2.7740625821889458E-3</v>
      </c>
      <c r="U127" s="211" t="e">
        <f>VLOOKUP(C127,'Active 2'!C$41:E$95,3,FALSE)</f>
        <v>#N/A</v>
      </c>
    </row>
    <row r="128" spans="1:21" s="211" customFormat="1" ht="12.95" customHeight="1">
      <c r="A128" s="205" t="s">
        <v>441</v>
      </c>
      <c r="B128" s="206" t="s">
        <v>39</v>
      </c>
      <c r="C128" s="207">
        <v>59292.240000000224</v>
      </c>
      <c r="D128" s="205" t="s">
        <v>58</v>
      </c>
      <c r="E128" s="214">
        <f t="shared" si="37"/>
        <v>40483.802774855845</v>
      </c>
      <c r="F128" s="211">
        <f t="shared" si="28"/>
        <v>40484</v>
      </c>
      <c r="G128" s="213">
        <f t="shared" si="38"/>
        <v>-7.0657479780493304E-2</v>
      </c>
      <c r="H128" s="213"/>
      <c r="I128" s="213"/>
      <c r="J128" s="213"/>
      <c r="K128" s="213">
        <f t="shared" si="39"/>
        <v>-7.0657479780493304E-2</v>
      </c>
      <c r="L128" s="213"/>
      <c r="M128" s="213"/>
      <c r="N128" s="213"/>
      <c r="O128" s="213">
        <f t="shared" ca="1" si="40"/>
        <v>-7.3359449335376026E-2</v>
      </c>
      <c r="P128" s="213">
        <f t="shared" si="41"/>
        <v>-0.12432685038101701</v>
      </c>
      <c r="Q128" s="246">
        <f t="shared" si="42"/>
        <v>44273.740000000224</v>
      </c>
      <c r="R128" s="211">
        <f t="shared" si="43"/>
        <v>2.8804013406563585E-3</v>
      </c>
      <c r="S128" s="211">
        <v>1</v>
      </c>
      <c r="T128" s="211">
        <f t="shared" si="44"/>
        <v>2.8804013406563585E-3</v>
      </c>
      <c r="U128" s="211" t="e">
        <f>VLOOKUP(C128,'Active 2'!C$41:E$95,3,FALSE)</f>
        <v>#N/A</v>
      </c>
    </row>
    <row r="129" spans="1:21" s="211" customFormat="1" ht="12.95" customHeight="1">
      <c r="A129" s="205" t="s">
        <v>441</v>
      </c>
      <c r="B129" s="206" t="s">
        <v>39</v>
      </c>
      <c r="C129" s="207">
        <v>59292.242999999784</v>
      </c>
      <c r="D129" s="205" t="s">
        <v>120</v>
      </c>
      <c r="E129" s="214">
        <f t="shared" si="37"/>
        <v>40483.811148708803</v>
      </c>
      <c r="F129" s="211">
        <f t="shared" si="28"/>
        <v>40484</v>
      </c>
      <c r="G129" s="213">
        <f t="shared" si="38"/>
        <v>-6.7657480220077559E-2</v>
      </c>
      <c r="H129" s="213"/>
      <c r="I129" s="213"/>
      <c r="J129" s="213"/>
      <c r="K129" s="213">
        <f t="shared" si="39"/>
        <v>-6.7657480220077559E-2</v>
      </c>
      <c r="L129" s="213"/>
      <c r="M129" s="213"/>
      <c r="N129" s="213"/>
      <c r="O129" s="213">
        <f t="shared" ca="1" si="40"/>
        <v>-7.3359449335376026E-2</v>
      </c>
      <c r="P129" s="213">
        <f t="shared" si="41"/>
        <v>-0.12432685038101701</v>
      </c>
      <c r="Q129" s="246">
        <f t="shared" si="42"/>
        <v>44273.742999999784</v>
      </c>
      <c r="R129" s="211">
        <f t="shared" si="43"/>
        <v>3.2114175144375748E-3</v>
      </c>
      <c r="S129" s="211">
        <v>1</v>
      </c>
      <c r="T129" s="211">
        <f t="shared" si="44"/>
        <v>3.2114175144375748E-3</v>
      </c>
      <c r="U129" s="211" t="e">
        <f>VLOOKUP(C129,'Active 2'!C$41:E$95,3,FALSE)</f>
        <v>#N/A</v>
      </c>
    </row>
    <row r="130" spans="1:21" s="211" customFormat="1" ht="12.95" customHeight="1">
      <c r="A130" s="284" t="s">
        <v>443</v>
      </c>
      <c r="B130" s="285" t="s">
        <v>39</v>
      </c>
      <c r="C130" s="210">
        <v>59628.276999999769</v>
      </c>
      <c r="D130" s="286"/>
      <c r="E130" s="214">
        <f t="shared" ref="E130:E133" si="45">+(C130-C$7)/C$8</f>
        <v>41421.77772067365</v>
      </c>
      <c r="F130" s="211">
        <f t="shared" ref="F130:F133" si="46">ROUND(2*E130,0)/2</f>
        <v>41422</v>
      </c>
      <c r="G130" s="213">
        <f t="shared" ref="G130:G133" si="47">+C130-(C$7+F130*C$8)</f>
        <v>-7.9633340232248884E-2</v>
      </c>
      <c r="H130" s="213"/>
      <c r="I130" s="213"/>
      <c r="J130" s="213"/>
      <c r="K130" s="213">
        <f t="shared" ref="K130:K133" si="48">+G130</f>
        <v>-7.9633340232248884E-2</v>
      </c>
      <c r="L130" s="213"/>
      <c r="M130" s="213"/>
      <c r="N130" s="213"/>
      <c r="O130" s="213">
        <f t="shared" ref="O130:O133" ca="1" si="49">+C$11+C$12*F130</f>
        <v>-7.6629265992614437E-2</v>
      </c>
      <c r="P130" s="213">
        <f t="shared" ref="P130:P133" si="50">+D$11+D$12*F130+D$13*F130^2</f>
        <v>-0.13359475204344867</v>
      </c>
      <c r="Q130" s="246">
        <f t="shared" ref="Q130:Q133" si="51">+C130-15018.5</f>
        <v>44609.776999999769</v>
      </c>
      <c r="R130" s="211">
        <f t="shared" ref="R130:R133" si="52">+(P130-G130)^2</f>
        <v>2.9118339646578922E-3</v>
      </c>
      <c r="S130" s="211">
        <v>1</v>
      </c>
      <c r="T130" s="211">
        <f t="shared" ref="T130:T133" si="53">S130*R130</f>
        <v>2.9118339646578922E-3</v>
      </c>
    </row>
    <row r="131" spans="1:21" s="211" customFormat="1" ht="12.95" customHeight="1">
      <c r="A131" s="284" t="s">
        <v>443</v>
      </c>
      <c r="B131" s="285" t="s">
        <v>39</v>
      </c>
      <c r="C131" s="210">
        <v>59628.277999999933</v>
      </c>
      <c r="D131" s="286"/>
      <c r="E131" s="214">
        <f t="shared" si="45"/>
        <v>41421.780511958837</v>
      </c>
      <c r="F131" s="211">
        <f t="shared" si="46"/>
        <v>41422</v>
      </c>
      <c r="G131" s="213">
        <f t="shared" si="47"/>
        <v>-7.8633340068336111E-2</v>
      </c>
      <c r="H131" s="213"/>
      <c r="I131" s="213"/>
      <c r="J131" s="213"/>
      <c r="K131" s="213">
        <f t="shared" si="48"/>
        <v>-7.8633340068336111E-2</v>
      </c>
      <c r="L131" s="213"/>
      <c r="M131" s="213"/>
      <c r="N131" s="213"/>
      <c r="O131" s="213">
        <f t="shared" ca="1" si="49"/>
        <v>-7.6629265992614437E-2</v>
      </c>
      <c r="P131" s="213">
        <f t="shared" si="50"/>
        <v>-0.13359475204344867</v>
      </c>
      <c r="Q131" s="246">
        <f t="shared" si="51"/>
        <v>44609.777999999933</v>
      </c>
      <c r="R131" s="211">
        <f t="shared" si="52"/>
        <v>3.0207568062980464E-3</v>
      </c>
      <c r="S131" s="211">
        <v>1</v>
      </c>
      <c r="T131" s="211">
        <f t="shared" si="53"/>
        <v>3.0207568062980464E-3</v>
      </c>
    </row>
    <row r="132" spans="1:21" s="211" customFormat="1" ht="12.95" customHeight="1">
      <c r="A132" s="284" t="s">
        <v>443</v>
      </c>
      <c r="B132" s="285" t="s">
        <v>39</v>
      </c>
      <c r="C132" s="210">
        <v>59651.195999999996</v>
      </c>
      <c r="D132" s="286"/>
      <c r="E132" s="214">
        <f t="shared" si="45"/>
        <v>41485.751175333229</v>
      </c>
      <c r="F132" s="211">
        <f t="shared" si="46"/>
        <v>41486</v>
      </c>
      <c r="G132" s="213">
        <f t="shared" si="47"/>
        <v>-8.9143420002073981E-2</v>
      </c>
      <c r="H132" s="213"/>
      <c r="I132" s="213"/>
      <c r="J132" s="213"/>
      <c r="K132" s="213">
        <f t="shared" si="48"/>
        <v>-8.9143420002073981E-2</v>
      </c>
      <c r="L132" s="213"/>
      <c r="M132" s="213"/>
      <c r="N132" s="213"/>
      <c r="O132" s="213">
        <f t="shared" ca="1" si="49"/>
        <v>-7.685236648948357E-2</v>
      </c>
      <c r="P132" s="213">
        <f t="shared" si="50"/>
        <v>-0.13423808041011998</v>
      </c>
      <c r="Q132" s="246">
        <f t="shared" si="51"/>
        <v>44632.695999999996</v>
      </c>
      <c r="R132" s="211">
        <f t="shared" si="52"/>
        <v>2.0335283973169911E-3</v>
      </c>
      <c r="S132" s="211">
        <v>1</v>
      </c>
      <c r="T132" s="211">
        <f t="shared" si="53"/>
        <v>2.0335283973169911E-3</v>
      </c>
    </row>
    <row r="133" spans="1:21" s="211" customFormat="1" ht="12.95" customHeight="1">
      <c r="A133" s="284" t="s">
        <v>443</v>
      </c>
      <c r="B133" s="285" t="s">
        <v>39</v>
      </c>
      <c r="C133" s="210">
        <v>59651.200000000186</v>
      </c>
      <c r="D133" s="286"/>
      <c r="E133" s="214">
        <f t="shared" si="45"/>
        <v>41485.762340472662</v>
      </c>
      <c r="F133" s="211">
        <f t="shared" si="46"/>
        <v>41486</v>
      </c>
      <c r="G133" s="213">
        <f t="shared" si="47"/>
        <v>-8.5143419812084176E-2</v>
      </c>
      <c r="H133" s="213"/>
      <c r="I133" s="213"/>
      <c r="J133" s="213"/>
      <c r="K133" s="213">
        <f t="shared" si="48"/>
        <v>-8.5143419812084176E-2</v>
      </c>
      <c r="L133" s="213"/>
      <c r="M133" s="213"/>
      <c r="N133" s="213"/>
      <c r="O133" s="213">
        <f t="shared" ca="1" si="49"/>
        <v>-7.685236648948357E-2</v>
      </c>
      <c r="P133" s="213">
        <f t="shared" si="50"/>
        <v>-0.13423808041011998</v>
      </c>
      <c r="Q133" s="246">
        <f t="shared" si="51"/>
        <v>44632.700000000186</v>
      </c>
      <c r="R133" s="211">
        <f t="shared" si="52"/>
        <v>2.4102856992363289E-3</v>
      </c>
      <c r="S133" s="211">
        <v>1</v>
      </c>
      <c r="T133" s="211">
        <f t="shared" si="53"/>
        <v>2.4102856992363289E-3</v>
      </c>
    </row>
    <row r="134" spans="1:21" s="211" customFormat="1" ht="12.95" customHeight="1">
      <c r="A134" s="263"/>
      <c r="B134" s="263"/>
      <c r="C134" s="286"/>
      <c r="D134" s="286"/>
      <c r="E134" s="214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46"/>
    </row>
    <row r="135" spans="1:21" s="211" customFormat="1" ht="12.95" customHeight="1">
      <c r="A135" s="263"/>
      <c r="B135" s="263"/>
      <c r="C135" s="286"/>
      <c r="D135" s="286"/>
      <c r="E135" s="214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46"/>
    </row>
    <row r="136" spans="1:21" s="211" customFormat="1" ht="12.95" customHeight="1">
      <c r="A136" s="263"/>
      <c r="B136" s="263"/>
      <c r="C136" s="286"/>
      <c r="D136" s="286"/>
      <c r="E136" s="214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46"/>
    </row>
    <row r="137" spans="1:21" s="211" customFormat="1" ht="12.95" customHeight="1">
      <c r="A137" s="263"/>
      <c r="B137" s="263"/>
      <c r="C137" s="286"/>
      <c r="D137" s="286"/>
      <c r="E137" s="214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46"/>
    </row>
    <row r="138" spans="1:21" s="211" customFormat="1" ht="12.95" customHeight="1">
      <c r="A138" s="263"/>
      <c r="B138" s="263"/>
      <c r="C138" s="286"/>
      <c r="D138" s="286"/>
      <c r="E138" s="214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46"/>
    </row>
    <row r="139" spans="1:21" s="211" customFormat="1" ht="12.95" customHeight="1">
      <c r="A139" s="263"/>
      <c r="B139" s="263"/>
      <c r="C139" s="286"/>
      <c r="D139" s="286"/>
      <c r="E139" s="214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46"/>
    </row>
    <row r="140" spans="1:21" s="211" customFormat="1" ht="12.95" customHeight="1">
      <c r="A140" s="263"/>
      <c r="B140" s="263"/>
      <c r="C140" s="286"/>
      <c r="D140" s="286"/>
      <c r="E140" s="214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46"/>
    </row>
    <row r="141" spans="1:21" s="211" customFormat="1" ht="12.95" customHeight="1">
      <c r="A141" s="263"/>
      <c r="B141" s="263"/>
      <c r="C141" s="286"/>
      <c r="D141" s="286"/>
      <c r="E141" s="214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46"/>
    </row>
    <row r="142" spans="1:21" s="211" customFormat="1" ht="12.95" customHeight="1">
      <c r="A142" s="263"/>
      <c r="B142" s="263"/>
      <c r="C142" s="286"/>
      <c r="D142" s="286"/>
      <c r="E142" s="214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46"/>
    </row>
    <row r="143" spans="1:21" s="211" customFormat="1" ht="12.95" customHeight="1">
      <c r="A143" s="263"/>
      <c r="B143" s="263"/>
      <c r="C143" s="286"/>
      <c r="D143" s="286"/>
      <c r="E143" s="214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46"/>
    </row>
    <row r="144" spans="1:21" s="211" customFormat="1" ht="12.95" customHeight="1">
      <c r="A144" s="263"/>
      <c r="B144" s="263"/>
      <c r="C144" s="286"/>
      <c r="D144" s="286"/>
      <c r="E144" s="214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46"/>
    </row>
    <row r="145" spans="1:17" s="211" customFormat="1" ht="12.95" customHeight="1">
      <c r="A145" s="263"/>
      <c r="B145" s="263"/>
      <c r="C145" s="286"/>
      <c r="D145" s="286"/>
      <c r="E145" s="214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46"/>
    </row>
    <row r="146" spans="1:17" s="211" customFormat="1" ht="12.95" customHeight="1">
      <c r="A146" s="263"/>
      <c r="B146" s="263"/>
      <c r="C146" s="286"/>
      <c r="D146" s="286"/>
      <c r="E146" s="214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46"/>
    </row>
    <row r="147" spans="1:17" s="211" customFormat="1" ht="12.95" customHeight="1">
      <c r="A147" s="263"/>
      <c r="B147" s="263"/>
      <c r="C147" s="286"/>
      <c r="D147" s="286"/>
      <c r="E147" s="214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46"/>
    </row>
    <row r="148" spans="1:17" s="211" customFormat="1" ht="12.95" customHeight="1">
      <c r="A148" s="263"/>
      <c r="B148" s="263"/>
      <c r="C148" s="286"/>
      <c r="D148" s="286"/>
      <c r="E148" s="214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46"/>
    </row>
    <row r="149" spans="1:17" s="211" customFormat="1" ht="12.95" customHeight="1">
      <c r="A149" s="263"/>
      <c r="B149" s="263"/>
      <c r="C149" s="286"/>
      <c r="D149" s="286"/>
      <c r="E149" s="214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46"/>
    </row>
    <row r="150" spans="1:17" s="211" customFormat="1" ht="12.95" customHeight="1">
      <c r="A150" s="263"/>
      <c r="B150" s="263"/>
      <c r="C150" s="286"/>
      <c r="D150" s="286"/>
      <c r="E150" s="214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46"/>
    </row>
    <row r="151" spans="1:17" s="211" customFormat="1" ht="12.95" customHeight="1">
      <c r="A151" s="263"/>
      <c r="B151" s="263"/>
      <c r="C151" s="286"/>
      <c r="D151" s="286"/>
      <c r="E151" s="214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46"/>
    </row>
    <row r="152" spans="1:17" s="211" customFormat="1" ht="12.95" customHeight="1">
      <c r="A152" s="263"/>
      <c r="B152" s="263"/>
      <c r="C152" s="286"/>
      <c r="D152" s="286"/>
      <c r="E152" s="214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46"/>
    </row>
    <row r="153" spans="1:17" s="211" customFormat="1" ht="12.95" customHeight="1">
      <c r="A153" s="263"/>
      <c r="B153" s="263"/>
      <c r="C153" s="286"/>
      <c r="D153" s="286"/>
      <c r="E153" s="214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46"/>
    </row>
    <row r="154" spans="1:17" s="211" customFormat="1" ht="12.95" customHeight="1">
      <c r="A154" s="263"/>
      <c r="B154" s="263"/>
      <c r="C154" s="286"/>
      <c r="D154" s="286"/>
      <c r="E154" s="214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46"/>
    </row>
    <row r="155" spans="1:17" s="211" customFormat="1" ht="12.95" customHeight="1">
      <c r="A155" s="263"/>
      <c r="B155" s="263"/>
      <c r="C155" s="286"/>
      <c r="D155" s="286"/>
      <c r="E155" s="214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46"/>
    </row>
    <row r="156" spans="1:17" s="211" customFormat="1" ht="12.95" customHeight="1">
      <c r="A156" s="263"/>
      <c r="B156" s="263"/>
      <c r="C156" s="286"/>
      <c r="D156" s="286"/>
      <c r="E156" s="214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46"/>
    </row>
    <row r="157" spans="1:17" s="211" customFormat="1" ht="12.95" customHeight="1">
      <c r="A157" s="263"/>
      <c r="B157" s="263"/>
      <c r="C157" s="286"/>
      <c r="D157" s="286"/>
      <c r="E157" s="214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46"/>
    </row>
    <row r="158" spans="1:17" s="211" customFormat="1" ht="12.95" customHeight="1">
      <c r="A158" s="263"/>
      <c r="B158" s="263"/>
      <c r="C158" s="286"/>
      <c r="D158" s="286"/>
      <c r="E158" s="214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46"/>
    </row>
    <row r="159" spans="1:17" s="211" customFormat="1" ht="12.95" customHeight="1">
      <c r="A159" s="263"/>
      <c r="B159" s="263"/>
      <c r="C159" s="286"/>
      <c r="D159" s="286"/>
      <c r="E159" s="214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46"/>
    </row>
    <row r="160" spans="1:17" s="211" customFormat="1" ht="12.95" customHeight="1">
      <c r="A160" s="263"/>
      <c r="B160" s="263"/>
      <c r="C160" s="286"/>
      <c r="D160" s="286"/>
      <c r="E160" s="214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46"/>
    </row>
    <row r="161" spans="1:17" s="211" customFormat="1" ht="12.95" customHeight="1">
      <c r="A161" s="263"/>
      <c r="B161" s="263"/>
      <c r="C161" s="286"/>
      <c r="D161" s="286"/>
      <c r="E161" s="214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46"/>
    </row>
    <row r="162" spans="1:17" s="211" customFormat="1" ht="12.95" customHeight="1">
      <c r="A162" s="263"/>
      <c r="B162" s="263"/>
      <c r="C162" s="286"/>
      <c r="D162" s="286"/>
      <c r="E162" s="214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46"/>
    </row>
    <row r="163" spans="1:17" s="211" customFormat="1" ht="12.95" customHeight="1">
      <c r="A163" s="263"/>
      <c r="B163" s="263"/>
      <c r="C163" s="286"/>
      <c r="D163" s="286"/>
      <c r="E163" s="214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46"/>
    </row>
    <row r="164" spans="1:17" s="211" customFormat="1" ht="12.95" customHeight="1">
      <c r="A164" s="263"/>
      <c r="B164" s="263"/>
      <c r="C164" s="286"/>
      <c r="D164" s="286"/>
      <c r="E164" s="214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46"/>
    </row>
    <row r="165" spans="1:17" s="211" customFormat="1" ht="12.95" customHeight="1">
      <c r="A165" s="263"/>
      <c r="B165" s="263"/>
      <c r="C165" s="286"/>
      <c r="D165" s="286"/>
      <c r="E165" s="214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46"/>
    </row>
    <row r="166" spans="1:17" s="211" customFormat="1" ht="12.95" customHeight="1">
      <c r="A166" s="263"/>
      <c r="B166" s="263"/>
      <c r="C166" s="286"/>
      <c r="D166" s="286"/>
      <c r="E166" s="214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46"/>
    </row>
    <row r="167" spans="1:17" s="211" customFormat="1" ht="12.95" customHeight="1">
      <c r="A167" s="263"/>
      <c r="B167" s="263"/>
      <c r="C167" s="286"/>
      <c r="D167" s="286"/>
      <c r="E167" s="214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46"/>
    </row>
    <row r="168" spans="1:17" s="211" customFormat="1" ht="12.95" customHeight="1">
      <c r="A168" s="263"/>
      <c r="B168" s="263"/>
      <c r="C168" s="286"/>
      <c r="D168" s="286"/>
      <c r="E168" s="214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46"/>
    </row>
    <row r="169" spans="1:17" s="211" customFormat="1" ht="12.95" customHeight="1">
      <c r="A169" s="263"/>
      <c r="B169" s="263"/>
      <c r="C169" s="286"/>
      <c r="D169" s="286"/>
      <c r="E169" s="214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46"/>
    </row>
    <row r="170" spans="1:17" s="211" customFormat="1" ht="12.95" customHeight="1">
      <c r="A170" s="263"/>
      <c r="B170" s="263"/>
      <c r="C170" s="286"/>
      <c r="D170" s="286"/>
      <c r="E170" s="214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46"/>
    </row>
    <row r="171" spans="1:17" s="211" customFormat="1" ht="12.95" customHeight="1">
      <c r="A171" s="263"/>
      <c r="B171" s="263"/>
      <c r="C171" s="286"/>
      <c r="D171" s="286"/>
      <c r="E171" s="214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46"/>
    </row>
    <row r="172" spans="1:17" s="211" customFormat="1" ht="12.95" customHeight="1">
      <c r="A172" s="263"/>
      <c r="B172" s="263"/>
      <c r="C172" s="286"/>
      <c r="D172" s="286"/>
      <c r="E172" s="214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46"/>
    </row>
    <row r="173" spans="1:17" s="211" customFormat="1" ht="12.95" customHeight="1">
      <c r="A173" s="263"/>
      <c r="B173" s="263"/>
      <c r="C173" s="286"/>
      <c r="D173" s="286"/>
      <c r="E173" s="214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46"/>
    </row>
    <row r="174" spans="1:17" s="211" customFormat="1" ht="12.95" customHeight="1">
      <c r="A174" s="263"/>
      <c r="B174" s="263"/>
      <c r="C174" s="286"/>
      <c r="D174" s="286"/>
      <c r="E174" s="214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46"/>
    </row>
    <row r="175" spans="1:17" s="211" customFormat="1" ht="12.95" customHeight="1">
      <c r="A175" s="263"/>
      <c r="B175" s="263"/>
      <c r="C175" s="286"/>
      <c r="D175" s="286"/>
      <c r="E175" s="214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46"/>
    </row>
    <row r="176" spans="1:17" s="211" customFormat="1" ht="12.95" customHeight="1">
      <c r="A176" s="263"/>
      <c r="B176" s="263"/>
      <c r="C176" s="286"/>
      <c r="D176" s="286"/>
      <c r="E176" s="214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46"/>
    </row>
    <row r="177" spans="1:17" s="211" customFormat="1" ht="12.95" customHeight="1">
      <c r="A177" s="263"/>
      <c r="B177" s="263"/>
      <c r="C177" s="286"/>
      <c r="D177" s="286"/>
      <c r="E177" s="214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46"/>
    </row>
    <row r="178" spans="1:17" s="211" customFormat="1" ht="12.95" customHeight="1">
      <c r="A178" s="263"/>
      <c r="B178" s="263"/>
      <c r="C178" s="286"/>
      <c r="D178" s="286"/>
      <c r="E178" s="214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46"/>
    </row>
    <row r="179" spans="1:17" s="211" customFormat="1" ht="12.95" customHeight="1">
      <c r="A179" s="263"/>
      <c r="B179" s="263"/>
      <c r="C179" s="286"/>
      <c r="D179" s="286"/>
      <c r="E179" s="214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46"/>
    </row>
    <row r="180" spans="1:17" s="211" customFormat="1" ht="12.95" customHeight="1">
      <c r="A180" s="263"/>
      <c r="B180" s="263"/>
      <c r="C180" s="286"/>
      <c r="D180" s="286"/>
      <c r="E180" s="214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46"/>
    </row>
    <row r="181" spans="1:17" s="211" customFormat="1" ht="12.95" customHeight="1">
      <c r="A181" s="263"/>
      <c r="B181" s="263"/>
      <c r="C181" s="286"/>
      <c r="D181" s="286"/>
      <c r="E181" s="214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46"/>
    </row>
    <row r="182" spans="1:17" s="211" customFormat="1" ht="12.95" customHeight="1">
      <c r="C182" s="243"/>
      <c r="D182" s="243"/>
      <c r="E182" s="214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46"/>
    </row>
    <row r="183" spans="1:17" s="211" customFormat="1" ht="12.95" customHeight="1">
      <c r="C183" s="243"/>
      <c r="D183" s="243"/>
      <c r="E183" s="214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46"/>
    </row>
    <row r="184" spans="1:17" s="211" customFormat="1" ht="12.95" customHeight="1">
      <c r="C184" s="243"/>
      <c r="D184" s="243"/>
      <c r="E184" s="214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46"/>
    </row>
    <row r="185" spans="1:17" s="211" customFormat="1" ht="12.95" customHeight="1">
      <c r="C185" s="243"/>
      <c r="D185" s="243"/>
      <c r="E185" s="214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46"/>
    </row>
    <row r="186" spans="1:17" s="211" customFormat="1" ht="12.95" customHeight="1">
      <c r="C186" s="243"/>
      <c r="D186" s="243"/>
      <c r="E186" s="214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46"/>
    </row>
    <row r="187" spans="1:17" s="211" customFormat="1" ht="12.95" customHeight="1">
      <c r="C187" s="243"/>
      <c r="D187" s="243"/>
      <c r="E187" s="214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46"/>
    </row>
    <row r="188" spans="1:17" s="211" customFormat="1" ht="12.95" customHeight="1">
      <c r="C188" s="243"/>
      <c r="D188" s="243"/>
      <c r="E188" s="214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46"/>
    </row>
    <row r="189" spans="1:17" s="211" customFormat="1" ht="12.95" customHeight="1">
      <c r="C189" s="243"/>
      <c r="D189" s="243"/>
      <c r="E189" s="214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46"/>
    </row>
    <row r="190" spans="1:17" s="211" customFormat="1" ht="12.95" customHeight="1">
      <c r="C190" s="243"/>
      <c r="D190" s="243"/>
      <c r="E190" s="214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46"/>
    </row>
    <row r="191" spans="1:17" s="211" customFormat="1" ht="12.95" customHeight="1">
      <c r="C191" s="243"/>
      <c r="D191" s="243"/>
      <c r="E191" s="214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46"/>
    </row>
    <row r="192" spans="1:17" s="211" customFormat="1" ht="12.95" customHeight="1">
      <c r="C192" s="243"/>
      <c r="D192" s="243"/>
      <c r="E192" s="214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46"/>
    </row>
    <row r="193" spans="3:17" s="211" customFormat="1" ht="12.95" customHeight="1">
      <c r="C193" s="243"/>
      <c r="D193" s="243"/>
      <c r="E193" s="214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46"/>
    </row>
    <row r="194" spans="3:17" s="211" customFormat="1" ht="12.95" customHeight="1">
      <c r="C194" s="243"/>
      <c r="D194" s="243"/>
      <c r="E194" s="214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46"/>
    </row>
    <row r="195" spans="3:17" s="211" customFormat="1" ht="12.95" customHeight="1">
      <c r="C195" s="243"/>
      <c r="D195" s="243"/>
      <c r="E195" s="214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46"/>
    </row>
    <row r="196" spans="3:17" s="211" customFormat="1" ht="12.95" customHeight="1">
      <c r="C196" s="243"/>
      <c r="D196" s="243"/>
      <c r="E196" s="214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46"/>
    </row>
    <row r="197" spans="3:17" s="211" customFormat="1" ht="12.95" customHeight="1">
      <c r="C197" s="243"/>
      <c r="D197" s="243"/>
      <c r="E197" s="214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46"/>
    </row>
    <row r="198" spans="3:17" s="211" customFormat="1" ht="12.95" customHeight="1">
      <c r="C198" s="243"/>
      <c r="D198" s="243"/>
      <c r="E198" s="214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46"/>
    </row>
    <row r="199" spans="3:17" s="211" customFormat="1" ht="12.95" customHeight="1">
      <c r="C199" s="243"/>
      <c r="D199" s="243"/>
      <c r="E199" s="214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46"/>
    </row>
    <row r="200" spans="3:17" s="211" customFormat="1" ht="12.95" customHeight="1">
      <c r="C200" s="243"/>
      <c r="D200" s="243"/>
      <c r="E200" s="214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46"/>
    </row>
    <row r="201" spans="3:17" s="211" customFormat="1" ht="12.95" customHeight="1">
      <c r="C201" s="243"/>
      <c r="D201" s="243"/>
      <c r="E201" s="214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46"/>
    </row>
    <row r="202" spans="3:17" s="211" customFormat="1" ht="12.95" customHeight="1">
      <c r="C202" s="243"/>
      <c r="D202" s="243"/>
      <c r="E202" s="214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46"/>
    </row>
    <row r="203" spans="3:17" s="211" customFormat="1" ht="12.95" customHeight="1">
      <c r="C203" s="243"/>
      <c r="D203" s="243"/>
      <c r="E203" s="214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46"/>
    </row>
    <row r="204" spans="3:17" s="211" customFormat="1" ht="12.95" customHeight="1">
      <c r="C204" s="243"/>
      <c r="D204" s="243"/>
      <c r="E204" s="214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46"/>
    </row>
    <row r="205" spans="3:17" s="211" customFormat="1" ht="12.95" customHeight="1">
      <c r="C205" s="243"/>
      <c r="D205" s="243"/>
      <c r="E205" s="214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46"/>
    </row>
    <row r="206" spans="3:17" s="211" customFormat="1" ht="12.95" customHeight="1">
      <c r="C206" s="243"/>
      <c r="D206" s="243"/>
      <c r="E206" s="214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46"/>
    </row>
    <row r="207" spans="3:17" s="211" customFormat="1" ht="12.95" customHeight="1">
      <c r="C207" s="243"/>
      <c r="D207" s="243"/>
      <c r="E207" s="214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46"/>
    </row>
    <row r="208" spans="3:17" s="211" customFormat="1" ht="12.95" customHeight="1">
      <c r="C208" s="243"/>
      <c r="D208" s="243"/>
      <c r="E208" s="214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46"/>
    </row>
    <row r="209" spans="3:17" s="211" customFormat="1" ht="12.95" customHeight="1">
      <c r="C209" s="243"/>
      <c r="D209" s="243"/>
      <c r="E209" s="214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46"/>
    </row>
    <row r="210" spans="3:17" s="211" customFormat="1" ht="12.95" customHeight="1">
      <c r="C210" s="243"/>
      <c r="D210" s="243"/>
      <c r="E210" s="214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46"/>
    </row>
    <row r="211" spans="3:17" s="211" customFormat="1" ht="12.95" customHeight="1">
      <c r="C211" s="243"/>
      <c r="D211" s="243"/>
      <c r="E211" s="214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46"/>
    </row>
    <row r="212" spans="3:17" s="211" customFormat="1" ht="12.95" customHeight="1">
      <c r="C212" s="243"/>
      <c r="D212" s="243"/>
      <c r="E212" s="214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46"/>
    </row>
    <row r="213" spans="3:17" s="211" customFormat="1" ht="12.95" customHeight="1">
      <c r="C213" s="243"/>
      <c r="D213" s="243"/>
      <c r="E213" s="214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46"/>
    </row>
    <row r="214" spans="3:17" s="211" customFormat="1" ht="12.95" customHeight="1">
      <c r="C214" s="243"/>
      <c r="D214" s="243"/>
      <c r="E214" s="214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46"/>
    </row>
    <row r="215" spans="3:17" s="211" customFormat="1" ht="12.95" customHeight="1">
      <c r="C215" s="243"/>
      <c r="D215" s="243"/>
      <c r="E215" s="214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46"/>
    </row>
    <row r="216" spans="3:17" s="211" customFormat="1" ht="12.95" customHeight="1">
      <c r="C216" s="243"/>
      <c r="D216" s="243"/>
      <c r="E216" s="214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46"/>
    </row>
    <row r="217" spans="3:17" s="211" customFormat="1" ht="12.95" customHeight="1">
      <c r="C217" s="243"/>
      <c r="D217" s="243"/>
      <c r="E217" s="214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46"/>
    </row>
    <row r="218" spans="3:17" s="211" customFormat="1" ht="12.95" customHeight="1">
      <c r="C218" s="243"/>
      <c r="D218" s="243"/>
      <c r="E218" s="214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46"/>
    </row>
    <row r="219" spans="3:17" s="211" customFormat="1" ht="12.95" customHeight="1">
      <c r="C219" s="243"/>
      <c r="D219" s="243"/>
      <c r="E219" s="214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46"/>
    </row>
    <row r="220" spans="3:17" s="211" customFormat="1" ht="12.95" customHeight="1">
      <c r="C220" s="243"/>
      <c r="D220" s="243"/>
      <c r="E220" s="214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46"/>
    </row>
    <row r="221" spans="3:17" s="211" customFormat="1" ht="12.95" customHeight="1">
      <c r="C221" s="243"/>
      <c r="D221" s="243"/>
      <c r="E221" s="214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46"/>
    </row>
    <row r="222" spans="3:17" s="211" customFormat="1" ht="12.95" customHeight="1">
      <c r="C222" s="243"/>
      <c r="D222" s="243"/>
      <c r="E222" s="214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46"/>
    </row>
    <row r="223" spans="3:17" s="211" customFormat="1" ht="12.95" customHeight="1">
      <c r="C223" s="243"/>
      <c r="D223" s="243"/>
      <c r="E223" s="214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46"/>
    </row>
    <row r="224" spans="3:17" s="211" customFormat="1" ht="12.95" customHeight="1">
      <c r="C224" s="243"/>
      <c r="D224" s="243"/>
      <c r="E224" s="214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46"/>
    </row>
    <row r="225" spans="3:17" s="211" customFormat="1" ht="12.95" customHeight="1">
      <c r="C225" s="243"/>
      <c r="D225" s="243"/>
      <c r="E225" s="214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46"/>
    </row>
    <row r="226" spans="3:17" s="211" customFormat="1" ht="12.95" customHeight="1">
      <c r="C226" s="243"/>
      <c r="D226" s="243"/>
      <c r="E226" s="214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46"/>
    </row>
    <row r="227" spans="3:17" s="211" customFormat="1" ht="12.95" customHeight="1">
      <c r="C227" s="243"/>
      <c r="D227" s="243"/>
      <c r="E227" s="214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46"/>
    </row>
    <row r="228" spans="3:17" s="211" customFormat="1" ht="12.95" customHeight="1">
      <c r="C228" s="243"/>
      <c r="D228" s="243"/>
      <c r="E228" s="214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46"/>
    </row>
    <row r="229" spans="3:17" s="211" customFormat="1" ht="12.95" customHeight="1">
      <c r="C229" s="243"/>
      <c r="D229" s="243"/>
      <c r="E229" s="214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46"/>
    </row>
    <row r="230" spans="3:17" s="211" customFormat="1" ht="12.95" customHeight="1">
      <c r="C230" s="243"/>
      <c r="D230" s="243"/>
      <c r="E230" s="214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46"/>
    </row>
    <row r="231" spans="3:17" s="211" customFormat="1" ht="12.95" customHeight="1">
      <c r="C231" s="243"/>
      <c r="D231" s="243"/>
      <c r="E231" s="214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46"/>
    </row>
    <row r="232" spans="3:17" s="211" customFormat="1" ht="12.95" customHeight="1">
      <c r="C232" s="243"/>
      <c r="D232" s="243"/>
      <c r="E232" s="214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46"/>
    </row>
    <row r="233" spans="3:17" s="211" customFormat="1" ht="12.95" customHeight="1">
      <c r="C233" s="243"/>
      <c r="D233" s="243"/>
      <c r="E233" s="214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46"/>
    </row>
    <row r="234" spans="3:17" s="211" customFormat="1" ht="12.95" customHeight="1">
      <c r="C234" s="243"/>
      <c r="D234" s="243"/>
      <c r="E234" s="214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46"/>
    </row>
    <row r="235" spans="3:17" s="211" customFormat="1" ht="12.95" customHeight="1">
      <c r="C235" s="243"/>
      <c r="D235" s="243"/>
      <c r="E235" s="214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46"/>
    </row>
    <row r="236" spans="3:17" s="211" customFormat="1" ht="12.95" customHeight="1">
      <c r="C236" s="243"/>
      <c r="D236" s="243"/>
      <c r="E236" s="214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46"/>
    </row>
    <row r="237" spans="3:17" s="211" customFormat="1" ht="12.95" customHeight="1">
      <c r="C237" s="243"/>
      <c r="D237" s="243"/>
      <c r="E237" s="214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46"/>
    </row>
    <row r="238" spans="3:17" s="211" customFormat="1" ht="12.95" customHeight="1">
      <c r="C238" s="243"/>
      <c r="D238" s="243"/>
      <c r="E238" s="214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46"/>
    </row>
    <row r="239" spans="3:17" s="211" customFormat="1" ht="12.95" customHeight="1">
      <c r="C239" s="243"/>
      <c r="D239" s="243"/>
      <c r="E239" s="214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46"/>
    </row>
    <row r="240" spans="3:17" s="211" customFormat="1" ht="12.95" customHeight="1">
      <c r="C240" s="243"/>
      <c r="D240" s="243"/>
      <c r="E240" s="214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46"/>
    </row>
    <row r="241" spans="3:17" s="211" customFormat="1" ht="12.95" customHeight="1">
      <c r="C241" s="243"/>
      <c r="D241" s="243"/>
      <c r="E241" s="214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46"/>
    </row>
    <row r="242" spans="3:17" s="211" customFormat="1" ht="12.95" customHeight="1">
      <c r="C242" s="243"/>
      <c r="D242" s="243"/>
      <c r="E242" s="214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46"/>
    </row>
    <row r="243" spans="3:17" s="211" customFormat="1" ht="12.95" customHeight="1">
      <c r="C243" s="243"/>
      <c r="D243" s="243"/>
      <c r="E243" s="214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46"/>
    </row>
    <row r="244" spans="3:17" s="211" customFormat="1" ht="12.95" customHeight="1">
      <c r="C244" s="243"/>
      <c r="D244" s="243"/>
      <c r="E244" s="214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46"/>
    </row>
    <row r="245" spans="3:17" s="211" customFormat="1" ht="12.95" customHeight="1">
      <c r="C245" s="243"/>
      <c r="D245" s="243"/>
      <c r="E245" s="214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46"/>
    </row>
    <row r="246" spans="3:17">
      <c r="C246" s="14"/>
      <c r="D246" s="14"/>
    </row>
    <row r="247" spans="3:17">
      <c r="C247" s="14"/>
      <c r="D247" s="14"/>
    </row>
    <row r="248" spans="3:17">
      <c r="C248" s="14"/>
      <c r="D248" s="14"/>
    </row>
    <row r="249" spans="3:17">
      <c r="C249" s="14"/>
      <c r="D249" s="14"/>
    </row>
    <row r="250" spans="3:17">
      <c r="C250" s="14"/>
      <c r="D250" s="14"/>
    </row>
    <row r="251" spans="3:17">
      <c r="C251" s="14"/>
      <c r="D251" s="14"/>
    </row>
    <row r="252" spans="3:17">
      <c r="C252" s="14"/>
      <c r="D252" s="14"/>
    </row>
    <row r="253" spans="3:17">
      <c r="C253" s="14"/>
      <c r="D253" s="14"/>
    </row>
    <row r="254" spans="3:17">
      <c r="C254" s="14"/>
      <c r="D254" s="14"/>
    </row>
    <row r="255" spans="3:17">
      <c r="C255" s="14"/>
      <c r="D255" s="14"/>
    </row>
    <row r="256" spans="3:17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</sheetData>
  <protectedRanges>
    <protectedRange sqref="A117:D124" name="Range1"/>
  </protectedRange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ED40-DFA2-4BDB-86C2-C149B8E70416}">
  <dimension ref="A1"/>
  <sheetViews>
    <sheetView workbookViewId="0">
      <selection activeCell="P27" sqref="P27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X2540"/>
  <sheetViews>
    <sheetView workbookViewId="0">
      <pane xSplit="13" ySplit="21" topLeftCell="N109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3.140625" style="10" customWidth="1"/>
    <col min="6" max="6" width="15.425781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-5000</v>
      </c>
      <c r="W2" s="38">
        <f t="shared" ref="W2:W20" si="0">+D$11+D$12*V2+D$13*V2^2</f>
        <v>-1.8023488817320413E-2</v>
      </c>
    </row>
    <row r="3" spans="1:23" ht="13.5" thickBot="1">
      <c r="G3"/>
      <c r="H3"/>
      <c r="I3"/>
      <c r="J3"/>
      <c r="K3"/>
      <c r="L3"/>
      <c r="M3"/>
      <c r="N3"/>
      <c r="O3"/>
      <c r="P3"/>
      <c r="Q3"/>
      <c r="V3">
        <v>-2500</v>
      </c>
      <c r="W3" s="38">
        <f t="shared" si="0"/>
        <v>-1.0863573605687999E-2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H4"/>
      <c r="I4"/>
      <c r="J4"/>
      <c r="K4"/>
      <c r="L4"/>
      <c r="M4"/>
      <c r="N4"/>
      <c r="O4"/>
      <c r="P4"/>
      <c r="Q4"/>
      <c r="V4">
        <v>0</v>
      </c>
      <c r="W4" s="38">
        <f t="shared" si="0"/>
        <v>-4.9837390474862181E-3</v>
      </c>
    </row>
    <row r="5" spans="1:23" ht="13.5" thickTop="1">
      <c r="A5" s="15" t="s">
        <v>45</v>
      </c>
      <c r="B5" s="16"/>
      <c r="C5" s="17">
        <v>-9.5</v>
      </c>
      <c r="D5" s="16" t="s">
        <v>46</v>
      </c>
      <c r="E5" s="16"/>
      <c r="G5"/>
      <c r="H5"/>
      <c r="I5"/>
      <c r="J5"/>
      <c r="K5"/>
      <c r="L5"/>
      <c r="M5"/>
      <c r="N5"/>
      <c r="O5"/>
      <c r="P5"/>
      <c r="Q5"/>
      <c r="V5">
        <v>2500</v>
      </c>
      <c r="W5" s="38">
        <f t="shared" si="0"/>
        <v>-3.8398514271506859E-4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5000</v>
      </c>
      <c r="W6" s="38">
        <f t="shared" si="0"/>
        <v>2.9356881086254494E-3</v>
      </c>
    </row>
    <row r="7" spans="1:23">
      <c r="A7" t="s">
        <v>5</v>
      </c>
      <c r="C7" s="9">
        <v>44788.595000000001</v>
      </c>
      <c r="D7" s="34" t="s">
        <v>135</v>
      </c>
      <c r="E7"/>
      <c r="G7"/>
      <c r="H7"/>
      <c r="I7"/>
      <c r="J7"/>
      <c r="K7"/>
      <c r="L7"/>
      <c r="M7"/>
      <c r="N7"/>
      <c r="O7"/>
      <c r="P7"/>
      <c r="Q7"/>
      <c r="V7">
        <v>7500</v>
      </c>
      <c r="W7" s="38">
        <f t="shared" si="0"/>
        <v>4.9752807065353375E-3</v>
      </c>
    </row>
    <row r="8" spans="1:23">
      <c r="A8" t="s">
        <v>6</v>
      </c>
      <c r="C8" s="12">
        <v>0.35825796999999998</v>
      </c>
      <c r="D8" s="34" t="s">
        <v>135</v>
      </c>
      <c r="E8"/>
      <c r="G8"/>
      <c r="H8"/>
      <c r="I8"/>
      <c r="J8"/>
      <c r="K8"/>
      <c r="L8"/>
      <c r="M8"/>
      <c r="N8"/>
      <c r="O8"/>
      <c r="P8"/>
      <c r="Q8"/>
      <c r="V8">
        <v>10000</v>
      </c>
      <c r="W8" s="38">
        <f t="shared" si="0"/>
        <v>5.7347926510145919E-3</v>
      </c>
    </row>
    <row r="9" spans="1:23">
      <c r="A9" s="35" t="s">
        <v>48</v>
      </c>
      <c r="C9" s="36">
        <v>47</v>
      </c>
      <c r="D9" s="33" t="str">
        <f>"F"&amp;C9</f>
        <v>F47</v>
      </c>
      <c r="E9" s="34" t="str">
        <f>"G"&amp;C9</f>
        <v>G47</v>
      </c>
      <c r="G9"/>
      <c r="H9"/>
      <c r="I9"/>
      <c r="J9"/>
      <c r="K9"/>
      <c r="L9"/>
      <c r="M9"/>
      <c r="N9"/>
      <c r="O9"/>
      <c r="P9"/>
      <c r="Q9"/>
      <c r="V9">
        <v>12500</v>
      </c>
      <c r="W9" s="38">
        <f t="shared" si="0"/>
        <v>5.2142239420632161E-3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15000</v>
      </c>
      <c r="W10" s="38">
        <f t="shared" si="0"/>
        <v>3.4135745796812084E-3</v>
      </c>
    </row>
    <row r="11" spans="1:23">
      <c r="A11" s="16" t="s">
        <v>19</v>
      </c>
      <c r="B11" s="16"/>
      <c r="C11" s="32">
        <f ca="1">INTERCEPT(INDIRECT($E$9):G973,INDIRECT($D$9):F973)</f>
        <v>6.7860485355085209E-2</v>
      </c>
      <c r="D11" s="4">
        <f>+E11*F11</f>
        <v>-4.9837390474862181E-3</v>
      </c>
      <c r="E11" s="39">
        <v>-49.837390474862183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17500</v>
      </c>
      <c r="W11" s="38">
        <f t="shared" si="0"/>
        <v>3.328445638685687E-4</v>
      </c>
    </row>
    <row r="12" spans="1:23">
      <c r="A12" s="16" t="s">
        <v>20</v>
      </c>
      <c r="B12" s="16"/>
      <c r="C12" s="32">
        <f ca="1">SLOPE(INDIRECT($E$9):G973,INDIRECT($D$9):F973)</f>
        <v>-3.4980100649228092E-6</v>
      </c>
      <c r="D12" s="4">
        <f>+E12*F12</f>
        <v>2.0959176925945861E-6</v>
      </c>
      <c r="E12" s="40">
        <v>2.0959176925945862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20000</v>
      </c>
      <c r="W12" s="38">
        <f t="shared" si="0"/>
        <v>-4.0279661053747029E-3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-1.0240645227445052E-10</v>
      </c>
      <c r="E13" s="41">
        <v>-0.10240645227445051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22500</v>
      </c>
      <c r="W13" s="38">
        <f t="shared" si="0"/>
        <v>-9.6688574280485995E-3</v>
      </c>
    </row>
    <row r="14" spans="1:23">
      <c r="A14" s="16"/>
      <c r="B14" s="16"/>
      <c r="C14" s="16"/>
      <c r="D14" s="16"/>
      <c r="E14" s="16">
        <f>SUM(T21:T151)</f>
        <v>2.5404845761995726E-2</v>
      </c>
      <c r="G14"/>
      <c r="H14"/>
      <c r="I14"/>
      <c r="J14"/>
      <c r="K14"/>
      <c r="L14"/>
      <c r="M14"/>
      <c r="N14"/>
      <c r="O14"/>
      <c r="P14"/>
      <c r="Q14"/>
      <c r="V14">
        <v>25000</v>
      </c>
      <c r="W14" s="38">
        <f t="shared" si="0"/>
        <v>-1.6589829404153135E-2</v>
      </c>
    </row>
    <row r="15" spans="1:23">
      <c r="A15" s="18" t="s">
        <v>21</v>
      </c>
      <c r="B15" s="16"/>
      <c r="C15" s="19">
        <f ca="1">(C7+C11)+(C8+C12)*INT(MAX(F21:F3514))</f>
        <v>59651.2078854598</v>
      </c>
      <c r="D15" s="34">
        <f>+C7+INT(MAX(F21:F1588))*C8+D11+D12*INT(MAX(F21:F4023))+D13*INT(MAX(F21:F4050)^2)</f>
        <v>59651.190860386138</v>
      </c>
      <c r="E15" s="20" t="s">
        <v>187</v>
      </c>
      <c r="F15" s="17">
        <v>1</v>
      </c>
      <c r="G15"/>
      <c r="H15"/>
      <c r="I15"/>
      <c r="J15"/>
      <c r="K15"/>
      <c r="L15"/>
      <c r="M15"/>
      <c r="N15"/>
      <c r="O15"/>
      <c r="P15"/>
      <c r="Q15"/>
      <c r="V15">
        <v>27500</v>
      </c>
      <c r="W15" s="38">
        <f t="shared" si="0"/>
        <v>-2.4790882033688302E-2</v>
      </c>
    </row>
    <row r="16" spans="1:23">
      <c r="A16" s="22" t="s">
        <v>7</v>
      </c>
      <c r="B16" s="16"/>
      <c r="C16" s="23">
        <f ca="1">+C8+C12</f>
        <v>0.35825447198993504</v>
      </c>
      <c r="D16" s="34">
        <f>+C8+D12+2*D13*F92</f>
        <v>0.35825427370634544</v>
      </c>
      <c r="E16" s="20" t="s">
        <v>188</v>
      </c>
      <c r="F16" s="21">
        <f ca="1">NOW()+15018.5+$C$5/24</f>
        <v>60358.753585300925</v>
      </c>
      <c r="G16"/>
      <c r="H16"/>
      <c r="I16"/>
      <c r="J16"/>
      <c r="K16"/>
      <c r="L16"/>
      <c r="M16"/>
      <c r="N16"/>
      <c r="O16"/>
      <c r="P16"/>
      <c r="Q16"/>
      <c r="V16">
        <v>30000</v>
      </c>
      <c r="W16" s="38">
        <f t="shared" si="0"/>
        <v>-3.4272015316654102E-2</v>
      </c>
    </row>
    <row r="17" spans="1:24" ht="13.5" thickBot="1">
      <c r="A17" s="20" t="s">
        <v>43</v>
      </c>
      <c r="B17" s="16"/>
      <c r="C17" s="16">
        <f>COUNT(C21:C2172)</f>
        <v>108</v>
      </c>
      <c r="D17" s="20"/>
      <c r="E17" s="20" t="s">
        <v>189</v>
      </c>
      <c r="F17" s="21">
        <f ca="1">ROUND(2*(F16-$C$7)/$C$8,0)/2+F15</f>
        <v>43461.5</v>
      </c>
      <c r="G17"/>
      <c r="H17"/>
      <c r="I17"/>
      <c r="J17"/>
      <c r="K17"/>
      <c r="L17"/>
      <c r="M17"/>
      <c r="N17"/>
      <c r="O17"/>
      <c r="P17"/>
      <c r="Q17"/>
      <c r="V17">
        <v>32500</v>
      </c>
      <c r="W17" s="38">
        <f t="shared" si="0"/>
        <v>-4.5033229253050533E-2</v>
      </c>
    </row>
    <row r="18" spans="1:24" ht="14.25" thickTop="1" thickBot="1">
      <c r="A18" s="22" t="s">
        <v>151</v>
      </c>
      <c r="B18" s="16"/>
      <c r="C18" s="110">
        <f ca="1">+C15</f>
        <v>59651.2078854598</v>
      </c>
      <c r="D18" s="111">
        <f ca="1">+C16</f>
        <v>0.35825447198993504</v>
      </c>
      <c r="E18" s="20" t="s">
        <v>190</v>
      </c>
      <c r="F18" s="34">
        <f ca="1">ROUND(2*(F16-$C$15)/$C$16,0)/2+F15</f>
        <v>1976</v>
      </c>
      <c r="G18"/>
      <c r="H18"/>
      <c r="I18"/>
      <c r="J18"/>
      <c r="K18"/>
      <c r="L18"/>
      <c r="M18"/>
      <c r="N18"/>
      <c r="O18"/>
      <c r="P18"/>
      <c r="Q18"/>
      <c r="V18">
        <v>35000</v>
      </c>
      <c r="W18" s="38">
        <f t="shared" si="0"/>
        <v>-5.7074523842877589E-2</v>
      </c>
    </row>
    <row r="19" spans="1:24" ht="13.5" thickBot="1">
      <c r="A19" s="22" t="s">
        <v>152</v>
      </c>
      <c r="C19" s="112">
        <f>+D15</f>
        <v>59651.190860386138</v>
      </c>
      <c r="D19" s="113">
        <f>+D16</f>
        <v>0.35825427370634544</v>
      </c>
      <c r="E19" s="20" t="s">
        <v>191</v>
      </c>
      <c r="F19" s="24">
        <f ca="1">+$C$15+$C$16*F18-15018.5-$C$5/24</f>
        <v>45341.014555445247</v>
      </c>
      <c r="G19"/>
      <c r="H19"/>
      <c r="I19"/>
      <c r="J19"/>
      <c r="K19"/>
      <c r="L19"/>
      <c r="M19"/>
      <c r="N19"/>
      <c r="O19"/>
      <c r="P19"/>
      <c r="Q19"/>
      <c r="V19">
        <v>37500</v>
      </c>
      <c r="W19" s="38">
        <f t="shared" si="0"/>
        <v>-7.0395899086135291E-2</v>
      </c>
    </row>
    <row r="20" spans="1:24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195</v>
      </c>
      <c r="I20" s="8" t="s">
        <v>181</v>
      </c>
      <c r="J20" s="8" t="s">
        <v>179</v>
      </c>
      <c r="K20" s="8" t="s">
        <v>213</v>
      </c>
      <c r="L20" s="8" t="s">
        <v>432</v>
      </c>
      <c r="M20" s="8" t="s">
        <v>433</v>
      </c>
      <c r="N20" s="8" t="s">
        <v>29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  <c r="V20">
        <v>40000</v>
      </c>
      <c r="W20" s="38">
        <f t="shared" si="0"/>
        <v>-8.4997354982823611E-2</v>
      </c>
      <c r="X20" s="195" t="s">
        <v>435</v>
      </c>
    </row>
    <row r="21" spans="1:24">
      <c r="A21" s="108" t="s">
        <v>142</v>
      </c>
      <c r="B21" s="4"/>
      <c r="C21" s="14">
        <v>28731.308000000001</v>
      </c>
      <c r="D21" s="14"/>
      <c r="E21" s="168">
        <f t="shared" ref="E21:E52" si="1">+(C21-C$7)/C$8</f>
        <v>-44820.459960737237</v>
      </c>
      <c r="F21" s="169">
        <f t="shared" ref="F21:F28" si="2">ROUND(2*E21,0)/2+1.5</f>
        <v>-44819</v>
      </c>
      <c r="G21" s="9">
        <f t="shared" ref="G21:G52" si="3">+C21-(C$7+F21*C$8)</f>
        <v>-0.5230425700028718</v>
      </c>
      <c r="I21" s="9">
        <f t="shared" ref="I21:I33" si="4">+G21</f>
        <v>-0.5230425700028718</v>
      </c>
      <c r="P21" s="9">
        <f t="shared" ref="P21:P52" si="5">+D$11+D$12*F21+D$13*F21^2</f>
        <v>-0.30462889379787744</v>
      </c>
      <c r="Q21" s="11">
        <f t="shared" ref="Q21:Q52" si="6">+C21-15018.5</f>
        <v>13712.808000000001</v>
      </c>
      <c r="R21">
        <f t="shared" ref="R21:R52" si="7">+(P21-G21)^2</f>
        <v>4.7704533953380118E-2</v>
      </c>
      <c r="T21">
        <f t="shared" ref="T21:T52" si="8">S21*R21</f>
        <v>0</v>
      </c>
      <c r="W21" s="38"/>
    </row>
    <row r="22" spans="1:24">
      <c r="A22" s="108" t="s">
        <v>142</v>
      </c>
      <c r="B22" s="4"/>
      <c r="C22" s="14">
        <v>28731.477999999999</v>
      </c>
      <c r="D22" s="14"/>
      <c r="E22" s="163">
        <f t="shared" si="1"/>
        <v>-44819.985442333644</v>
      </c>
      <c r="F22" s="169">
        <f t="shared" si="2"/>
        <v>-44818.5</v>
      </c>
      <c r="G22" s="9">
        <f t="shared" si="3"/>
        <v>-0.53217155500533408</v>
      </c>
      <c r="I22" s="9">
        <f t="shared" si="4"/>
        <v>-0.53217155500533408</v>
      </c>
      <c r="P22" s="9">
        <f t="shared" si="5"/>
        <v>-0.30462325610984831</v>
      </c>
      <c r="Q22" s="11">
        <f t="shared" si="6"/>
        <v>13712.977999999999</v>
      </c>
      <c r="R22">
        <f t="shared" si="7"/>
        <v>5.1778228330229333E-2</v>
      </c>
      <c r="T22">
        <f t="shared" si="8"/>
        <v>0</v>
      </c>
      <c r="W22" s="38"/>
    </row>
    <row r="23" spans="1:24">
      <c r="A23" s="108" t="s">
        <v>142</v>
      </c>
      <c r="B23" s="4"/>
      <c r="C23" s="14">
        <v>29046.215</v>
      </c>
      <c r="D23" s="14"/>
      <c r="E23" s="163">
        <f t="shared" si="1"/>
        <v>-43941.464861200438</v>
      </c>
      <c r="F23" s="169">
        <f t="shared" si="2"/>
        <v>-43940</v>
      </c>
      <c r="G23" s="9">
        <f t="shared" si="3"/>
        <v>-0.52479820000371546</v>
      </c>
      <c r="I23" s="9">
        <f t="shared" si="4"/>
        <v>-0.52479820000371546</v>
      </c>
      <c r="P23" s="9">
        <f t="shared" si="5"/>
        <v>-0.29479691665864766</v>
      </c>
      <c r="Q23" s="11">
        <f t="shared" si="6"/>
        <v>14027.715</v>
      </c>
      <c r="R23">
        <f t="shared" si="7"/>
        <v>5.2900590340378167E-2</v>
      </c>
      <c r="T23">
        <f t="shared" si="8"/>
        <v>0</v>
      </c>
      <c r="W23" s="38"/>
    </row>
    <row r="24" spans="1:24">
      <c r="A24" s="108" t="s">
        <v>142</v>
      </c>
      <c r="B24" s="4"/>
      <c r="C24" s="14">
        <v>29046.404999999999</v>
      </c>
      <c r="D24" s="14"/>
      <c r="E24" s="163">
        <f t="shared" si="1"/>
        <v>-43940.934517102309</v>
      </c>
      <c r="F24" s="169">
        <f t="shared" si="2"/>
        <v>-43939.5</v>
      </c>
      <c r="G24" s="9">
        <f t="shared" si="3"/>
        <v>-0.51392718500574119</v>
      </c>
      <c r="I24" s="9">
        <f t="shared" si="4"/>
        <v>-0.51392718500574119</v>
      </c>
      <c r="P24" s="9">
        <f t="shared" si="5"/>
        <v>-0.29479136898588998</v>
      </c>
      <c r="Q24" s="11">
        <f t="shared" si="6"/>
        <v>14027.904999999999</v>
      </c>
      <c r="R24">
        <f t="shared" si="7"/>
        <v>4.802050586268608E-2</v>
      </c>
      <c r="T24">
        <f t="shared" si="8"/>
        <v>0</v>
      </c>
      <c r="W24" s="38"/>
    </row>
    <row r="25" spans="1:24">
      <c r="A25" s="108" t="s">
        <v>31</v>
      </c>
      <c r="B25" s="4"/>
      <c r="C25" s="14">
        <v>29369.184000000001</v>
      </c>
      <c r="D25" s="14"/>
      <c r="E25" s="163">
        <f t="shared" si="1"/>
        <v>-43039.966424194281</v>
      </c>
      <c r="F25" s="169">
        <f t="shared" si="2"/>
        <v>-43038.5</v>
      </c>
      <c r="G25" s="9">
        <f t="shared" si="3"/>
        <v>-0.52535815499868477</v>
      </c>
      <c r="I25" s="9">
        <f t="shared" si="4"/>
        <v>-0.52535815499868477</v>
      </c>
      <c r="P25" s="9">
        <f t="shared" si="5"/>
        <v>-0.28487764247112191</v>
      </c>
      <c r="Q25" s="11">
        <f t="shared" si="6"/>
        <v>14350.684000000001</v>
      </c>
      <c r="R25">
        <f t="shared" si="7"/>
        <v>5.7830876905519316E-2</v>
      </c>
      <c r="T25">
        <f t="shared" si="8"/>
        <v>0</v>
      </c>
      <c r="W25" s="38"/>
    </row>
    <row r="26" spans="1:24">
      <c r="A26" s="73" t="s">
        <v>124</v>
      </c>
      <c r="B26" s="37" t="s">
        <v>39</v>
      </c>
      <c r="C26" s="76">
        <v>29645.01</v>
      </c>
      <c r="D26" s="76"/>
      <c r="E26" s="163">
        <f t="shared" si="1"/>
        <v>-42270.057523074793</v>
      </c>
      <c r="F26" s="169">
        <f t="shared" si="2"/>
        <v>-42268.5</v>
      </c>
      <c r="G26" s="9">
        <f t="shared" si="3"/>
        <v>-0.5579950550054491</v>
      </c>
      <c r="I26" s="9">
        <f t="shared" si="4"/>
        <v>-0.5579950550054491</v>
      </c>
      <c r="O26" s="9">
        <f ca="1">+C$11+C$12*F26</f>
        <v>0.21571612378427496</v>
      </c>
      <c r="P26" s="9">
        <f t="shared" si="5"/>
        <v>-0.27653707568520813</v>
      </c>
      <c r="Q26" s="11">
        <f t="shared" si="6"/>
        <v>14626.509999999998</v>
      </c>
      <c r="R26">
        <f t="shared" si="7"/>
        <v>7.9218594123033198E-2</v>
      </c>
      <c r="T26">
        <f t="shared" si="8"/>
        <v>0</v>
      </c>
    </row>
    <row r="27" spans="1:24">
      <c r="A27" s="108" t="s">
        <v>142</v>
      </c>
      <c r="B27" s="4"/>
      <c r="C27" s="14">
        <v>30493.286</v>
      </c>
      <c r="D27" s="14"/>
      <c r="E27" s="163">
        <f t="shared" si="1"/>
        <v>-39902.277679963416</v>
      </c>
      <c r="F27" s="169">
        <f t="shared" si="2"/>
        <v>-39901</v>
      </c>
      <c r="G27" s="9">
        <f t="shared" si="3"/>
        <v>-0.45773903000372229</v>
      </c>
      <c r="I27" s="9">
        <f t="shared" si="4"/>
        <v>-0.45773903000372229</v>
      </c>
      <c r="P27" s="9">
        <f t="shared" si="5"/>
        <v>-0.25165321912244876</v>
      </c>
      <c r="Q27" s="11">
        <f t="shared" si="6"/>
        <v>15474.786</v>
      </c>
      <c r="R27">
        <f t="shared" si="7"/>
        <v>4.247136144659204E-2</v>
      </c>
      <c r="T27">
        <f t="shared" si="8"/>
        <v>0</v>
      </c>
    </row>
    <row r="28" spans="1:24">
      <c r="A28" s="108" t="s">
        <v>142</v>
      </c>
      <c r="B28" s="4"/>
      <c r="C28" s="14">
        <v>30493.473000000002</v>
      </c>
      <c r="D28" s="14"/>
      <c r="E28" s="163">
        <f t="shared" si="1"/>
        <v>-39901.755709719451</v>
      </c>
      <c r="F28" s="169">
        <f t="shared" si="2"/>
        <v>-39900.5</v>
      </c>
      <c r="G28" s="9">
        <f t="shared" si="3"/>
        <v>-0.44986801500272122</v>
      </c>
      <c r="I28" s="9">
        <f t="shared" si="4"/>
        <v>-0.44986801500272122</v>
      </c>
      <c r="P28" s="9">
        <f t="shared" si="5"/>
        <v>-0.25164808506935182</v>
      </c>
      <c r="Q28" s="11">
        <f t="shared" si="6"/>
        <v>15474.973000000002</v>
      </c>
      <c r="R28">
        <f t="shared" si="7"/>
        <v>3.929114062278987E-2</v>
      </c>
      <c r="T28">
        <f t="shared" si="8"/>
        <v>0</v>
      </c>
    </row>
    <row r="29" spans="1:24">
      <c r="A29" s="108" t="s">
        <v>144</v>
      </c>
      <c r="B29" s="4"/>
      <c r="C29" s="14">
        <v>30899.22</v>
      </c>
      <c r="D29" s="14"/>
      <c r="E29" s="163">
        <f t="shared" si="1"/>
        <v>-38769.200305578692</v>
      </c>
      <c r="F29" s="167">
        <f>ROUND(2*E29,0)/2+1</f>
        <v>-38768</v>
      </c>
      <c r="G29" s="9">
        <f t="shared" si="3"/>
        <v>-0.43001904000266222</v>
      </c>
      <c r="I29" s="9">
        <f t="shared" si="4"/>
        <v>-0.43001904000266222</v>
      </c>
      <c r="P29" s="9">
        <f t="shared" si="5"/>
        <v>-0.24015085482796117</v>
      </c>
      <c r="Q29" s="11">
        <f t="shared" si="6"/>
        <v>15880.720000000001</v>
      </c>
      <c r="R29">
        <f t="shared" si="7"/>
        <v>3.6049927741534572E-2</v>
      </c>
      <c r="T29">
        <f t="shared" si="8"/>
        <v>0</v>
      </c>
    </row>
    <row r="30" spans="1:24">
      <c r="A30" s="108" t="s">
        <v>144</v>
      </c>
      <c r="B30" s="4"/>
      <c r="C30" s="14">
        <v>30899.399000000001</v>
      </c>
      <c r="D30" s="14"/>
      <c r="E30" s="163">
        <f t="shared" si="1"/>
        <v>-38768.700665612552</v>
      </c>
      <c r="F30" s="167">
        <f>ROUND(2*E30,0)/2+1</f>
        <v>-38767.5</v>
      </c>
      <c r="G30" s="9">
        <f t="shared" si="3"/>
        <v>-0.43014802500329097</v>
      </c>
      <c r="I30" s="9">
        <f t="shared" si="4"/>
        <v>-0.43014802500329097</v>
      </c>
      <c r="P30" s="9">
        <f t="shared" si="5"/>
        <v>-0.24014583680137469</v>
      </c>
      <c r="Q30" s="11">
        <f t="shared" si="6"/>
        <v>15880.899000000001</v>
      </c>
      <c r="R30">
        <f t="shared" si="7"/>
        <v>3.6100831521516413E-2</v>
      </c>
      <c r="T30">
        <f t="shared" si="8"/>
        <v>0</v>
      </c>
    </row>
    <row r="31" spans="1:24">
      <c r="A31" s="108" t="s">
        <v>144</v>
      </c>
      <c r="B31" s="4"/>
      <c r="C31" s="14">
        <v>31256.240000000002</v>
      </c>
      <c r="D31" s="14"/>
      <c r="E31" s="10">
        <f t="shared" si="1"/>
        <v>-37772.655832332217</v>
      </c>
      <c r="F31" s="167">
        <f>ROUND(2*E31,0)/2+1</f>
        <v>-37771.5</v>
      </c>
      <c r="G31" s="9">
        <f t="shared" si="3"/>
        <v>-0.41408614499960095</v>
      </c>
      <c r="I31" s="9">
        <f t="shared" si="4"/>
        <v>-0.41408614499960095</v>
      </c>
      <c r="P31" s="9">
        <f t="shared" si="5"/>
        <v>-0.23025156767871885</v>
      </c>
      <c r="Q31" s="11">
        <f t="shared" si="6"/>
        <v>16237.740000000002</v>
      </c>
      <c r="R31">
        <f t="shared" si="7"/>
        <v>3.3795151818747378E-2</v>
      </c>
      <c r="T31">
        <f t="shared" si="8"/>
        <v>0</v>
      </c>
    </row>
    <row r="32" spans="1:24">
      <c r="A32" s="108" t="s">
        <v>144</v>
      </c>
      <c r="B32" s="4"/>
      <c r="C32" s="14">
        <v>31256.425999999999</v>
      </c>
      <c r="D32" s="14"/>
      <c r="E32" s="10">
        <f t="shared" si="1"/>
        <v>-37772.136653372996</v>
      </c>
      <c r="F32" s="167">
        <f>ROUND(2*E32,0)/2+1</f>
        <v>-37771</v>
      </c>
      <c r="G32" s="9">
        <f t="shared" si="3"/>
        <v>-0.40721513000244158</v>
      </c>
      <c r="I32" s="9">
        <f t="shared" si="4"/>
        <v>-0.40721513000244158</v>
      </c>
      <c r="P32" s="9">
        <f t="shared" si="5"/>
        <v>-0.23024665170016206</v>
      </c>
      <c r="Q32" s="11">
        <f t="shared" si="6"/>
        <v>16237.925999999999</v>
      </c>
      <c r="R32">
        <f t="shared" si="7"/>
        <v>3.1317842312624376E-2</v>
      </c>
      <c r="T32">
        <f t="shared" si="8"/>
        <v>0</v>
      </c>
    </row>
    <row r="33" spans="1:24" ht="13.5" thickBot="1">
      <c r="A33" s="109" t="s">
        <v>32</v>
      </c>
      <c r="B33" s="5"/>
      <c r="C33" s="81">
        <v>32337.678</v>
      </c>
      <c r="D33" s="81"/>
      <c r="E33" s="82">
        <f t="shared" si="1"/>
        <v>-34754.054459695624</v>
      </c>
      <c r="F33" s="167">
        <f>ROUND(2*E33,0)/2+1</f>
        <v>-34753</v>
      </c>
      <c r="G33" s="9">
        <f t="shared" si="3"/>
        <v>-0.3777685900022334</v>
      </c>
      <c r="I33" s="9">
        <f t="shared" si="4"/>
        <v>-0.3777685900022334</v>
      </c>
      <c r="P33" s="9">
        <f t="shared" si="5"/>
        <v>-0.20150671080984933</v>
      </c>
      <c r="Q33" s="11">
        <f t="shared" si="6"/>
        <v>17319.178</v>
      </c>
      <c r="R33">
        <f t="shared" si="7"/>
        <v>3.1068250056430595E-2</v>
      </c>
      <c r="T33">
        <f t="shared" si="8"/>
        <v>0</v>
      </c>
    </row>
    <row r="34" spans="1:24">
      <c r="A34" s="125" t="s">
        <v>178</v>
      </c>
      <c r="B34" s="126" t="s">
        <v>41</v>
      </c>
      <c r="C34" s="84">
        <v>44366.7353</v>
      </c>
      <c r="D34" s="125" t="s">
        <v>179</v>
      </c>
      <c r="E34" s="163">
        <f t="shared" si="1"/>
        <v>-1177.5305375620837</v>
      </c>
      <c r="F34" s="166">
        <f t="shared" ref="F34:F65" si="9">ROUND(2*E34,0)/2</f>
        <v>-1177.5</v>
      </c>
      <c r="G34" s="165">
        <f t="shared" si="3"/>
        <v>-1.0940325002593454E-2</v>
      </c>
      <c r="H34" s="165"/>
      <c r="J34" s="9">
        <f t="shared" ref="J34:J41" si="10">+G34</f>
        <v>-1.0940325002593454E-2</v>
      </c>
      <c r="O34" s="9">
        <f t="shared" ref="O34:O65" ca="1" si="11">+C$11+C$12*F34</f>
        <v>7.1979392206531823E-2</v>
      </c>
      <c r="P34" s="9">
        <f t="shared" si="5"/>
        <v>-7.5936693166351963E-3</v>
      </c>
      <c r="Q34" s="11">
        <f t="shared" si="6"/>
        <v>29348.2353</v>
      </c>
      <c r="R34">
        <f t="shared" si="7"/>
        <v>1.1200104280356736E-5</v>
      </c>
      <c r="S34">
        <v>1</v>
      </c>
      <c r="T34">
        <f t="shared" si="8"/>
        <v>1.1200104280356736E-5</v>
      </c>
      <c r="V34" s="84">
        <v>44366.7353</v>
      </c>
      <c r="X34" s="9">
        <f>G34-P34</f>
        <v>-3.3466556859582577E-3</v>
      </c>
    </row>
    <row r="35" spans="1:24">
      <c r="A35" s="125" t="s">
        <v>178</v>
      </c>
      <c r="B35" s="126" t="s">
        <v>41</v>
      </c>
      <c r="C35" s="84">
        <v>44408.6512</v>
      </c>
      <c r="D35" s="125" t="s">
        <v>179</v>
      </c>
      <c r="E35" s="163">
        <f t="shared" si="1"/>
        <v>-1060.5313260721064</v>
      </c>
      <c r="F35" s="166">
        <f t="shared" si="9"/>
        <v>-1060.5</v>
      </c>
      <c r="G35" s="165">
        <f t="shared" si="3"/>
        <v>-1.1222815002838615E-2</v>
      </c>
      <c r="H35" s="165"/>
      <c r="J35" s="9">
        <f t="shared" si="10"/>
        <v>-1.1222815002838615E-2</v>
      </c>
      <c r="O35" s="9">
        <f t="shared" ca="1" si="11"/>
        <v>7.1570125028935852E-2</v>
      </c>
      <c r="P35" s="9">
        <f t="shared" si="5"/>
        <v>-7.3216322266993735E-3</v>
      </c>
      <c r="Q35" s="11">
        <f t="shared" si="6"/>
        <v>29390.1512</v>
      </c>
      <c r="R35">
        <f t="shared" si="7"/>
        <v>1.5219227052845481E-5</v>
      </c>
      <c r="S35">
        <v>1</v>
      </c>
      <c r="T35">
        <f t="shared" si="8"/>
        <v>1.5219227052845481E-5</v>
      </c>
      <c r="V35" s="84">
        <v>44408.6512</v>
      </c>
      <c r="X35" s="9">
        <f t="shared" ref="X35:X66" si="12">G35-P35</f>
        <v>-3.9011827761392419E-3</v>
      </c>
    </row>
    <row r="36" spans="1:24">
      <c r="A36" s="125" t="s">
        <v>178</v>
      </c>
      <c r="B36" s="126" t="s">
        <v>41</v>
      </c>
      <c r="C36" s="84">
        <v>44698.845500000003</v>
      </c>
      <c r="D36" s="125" t="s">
        <v>179</v>
      </c>
      <c r="E36" s="163">
        <f t="shared" si="1"/>
        <v>-250.51640860913182</v>
      </c>
      <c r="F36" s="166">
        <f t="shared" si="9"/>
        <v>-250.5</v>
      </c>
      <c r="G36" s="165">
        <f t="shared" si="3"/>
        <v>-5.8785149958566763E-3</v>
      </c>
      <c r="H36" s="165"/>
      <c r="J36" s="9">
        <f t="shared" si="10"/>
        <v>-5.8785149958566763E-3</v>
      </c>
      <c r="O36" s="9">
        <f t="shared" ca="1" si="11"/>
        <v>6.8736736876348375E-2</v>
      </c>
      <c r="P36" s="9">
        <f t="shared" si="5"/>
        <v>-5.5151924599629969E-3</v>
      </c>
      <c r="Q36" s="11">
        <f t="shared" si="6"/>
        <v>29680.345500000003</v>
      </c>
      <c r="R36">
        <f t="shared" si="7"/>
        <v>1.3200326508821393E-7</v>
      </c>
      <c r="S36">
        <v>1</v>
      </c>
      <c r="T36">
        <f t="shared" si="8"/>
        <v>1.3200326508821393E-7</v>
      </c>
      <c r="V36" s="84">
        <v>44698.845500000003</v>
      </c>
      <c r="X36" s="9">
        <f t="shared" si="12"/>
        <v>-3.6332253589367938E-4</v>
      </c>
    </row>
    <row r="37" spans="1:24">
      <c r="A37" s="125" t="s">
        <v>178</v>
      </c>
      <c r="B37" s="126" t="s">
        <v>39</v>
      </c>
      <c r="C37" s="84">
        <v>44787.515200000002</v>
      </c>
      <c r="D37" s="125" t="s">
        <v>179</v>
      </c>
      <c r="E37" s="163">
        <f t="shared" si="1"/>
        <v>-3.0140292482523772</v>
      </c>
      <c r="F37" s="166">
        <f t="shared" si="9"/>
        <v>-3</v>
      </c>
      <c r="G37" s="165">
        <f t="shared" si="3"/>
        <v>-5.0260900025023147E-3</v>
      </c>
      <c r="H37" s="165"/>
      <c r="J37" s="9">
        <f t="shared" si="10"/>
        <v>-5.0260900025023147E-3</v>
      </c>
      <c r="O37" s="9">
        <f t="shared" ca="1" si="11"/>
        <v>6.7870979385279973E-2</v>
      </c>
      <c r="P37" s="9">
        <f t="shared" si="5"/>
        <v>-4.9900277222220723E-3</v>
      </c>
      <c r="Q37" s="11">
        <f t="shared" si="6"/>
        <v>29769.015200000002</v>
      </c>
      <c r="R37">
        <f t="shared" si="7"/>
        <v>1.3004880590107664E-9</v>
      </c>
      <c r="S37">
        <v>1</v>
      </c>
      <c r="T37">
        <f t="shared" si="8"/>
        <v>1.3004880590107664E-9</v>
      </c>
      <c r="V37" s="84">
        <v>44787.515200000002</v>
      </c>
      <c r="X37" s="9">
        <f t="shared" si="12"/>
        <v>-3.6062280280242491E-5</v>
      </c>
    </row>
    <row r="38" spans="1:24">
      <c r="A38" s="125" t="s">
        <v>178</v>
      </c>
      <c r="B38" s="126" t="s">
        <v>39</v>
      </c>
      <c r="C38" s="84">
        <v>44788.59</v>
      </c>
      <c r="D38" s="125" t="s">
        <v>179</v>
      </c>
      <c r="E38" s="163">
        <f t="shared" si="1"/>
        <v>-1.3956423648179029E-2</v>
      </c>
      <c r="F38" s="166">
        <f t="shared" si="9"/>
        <v>0</v>
      </c>
      <c r="G38" s="165">
        <f t="shared" si="3"/>
        <v>-5.0000000046566129E-3</v>
      </c>
      <c r="H38" s="165"/>
      <c r="J38" s="9">
        <f t="shared" si="10"/>
        <v>-5.0000000046566129E-3</v>
      </c>
      <c r="O38" s="9">
        <f t="shared" ca="1" si="11"/>
        <v>6.7860485355085209E-2</v>
      </c>
      <c r="P38" s="9">
        <f t="shared" si="5"/>
        <v>-4.9837390474862181E-3</v>
      </c>
      <c r="Q38" s="11">
        <f t="shared" si="6"/>
        <v>29770.089999999997</v>
      </c>
      <c r="R38">
        <f t="shared" si="7"/>
        <v>2.6441872809741209E-10</v>
      </c>
      <c r="S38">
        <v>1</v>
      </c>
      <c r="T38">
        <f t="shared" si="8"/>
        <v>2.6441872809741209E-10</v>
      </c>
      <c r="V38" s="84">
        <v>44788.59</v>
      </c>
      <c r="X38" s="9">
        <f t="shared" si="12"/>
        <v>-1.6260957170394739E-5</v>
      </c>
    </row>
    <row r="39" spans="1:24">
      <c r="A39" s="125" t="s">
        <v>178</v>
      </c>
      <c r="B39" s="126" t="s">
        <v>39</v>
      </c>
      <c r="C39" s="84">
        <v>44789.665099999998</v>
      </c>
      <c r="D39" s="125" t="s">
        <v>179</v>
      </c>
      <c r="E39" s="163">
        <f t="shared" si="1"/>
        <v>2.9869537863935944</v>
      </c>
      <c r="F39" s="166">
        <f t="shared" si="9"/>
        <v>3</v>
      </c>
      <c r="G39" s="165">
        <f t="shared" si="3"/>
        <v>-4.6739099998376332E-3</v>
      </c>
      <c r="H39" s="165"/>
      <c r="J39" s="9">
        <f t="shared" si="10"/>
        <v>-4.6739099998376332E-3</v>
      </c>
      <c r="O39" s="9">
        <f t="shared" ca="1" si="11"/>
        <v>6.7849991324890446E-2</v>
      </c>
      <c r="P39" s="9">
        <f t="shared" si="5"/>
        <v>-4.9774522160665044E-3</v>
      </c>
      <c r="Q39" s="11">
        <f t="shared" si="6"/>
        <v>29771.165099999998</v>
      </c>
      <c r="R39">
        <f t="shared" si="7"/>
        <v>9.2137877033134769E-8</v>
      </c>
      <c r="S39">
        <v>1</v>
      </c>
      <c r="T39">
        <f t="shared" si="8"/>
        <v>9.2137877033134769E-8</v>
      </c>
      <c r="V39" s="84">
        <v>44789.665099999998</v>
      </c>
      <c r="X39" s="9">
        <f t="shared" si="12"/>
        <v>3.0354221622887114E-4</v>
      </c>
    </row>
    <row r="40" spans="1:24">
      <c r="A40" s="125" t="s">
        <v>178</v>
      </c>
      <c r="B40" s="126" t="s">
        <v>41</v>
      </c>
      <c r="C40" s="84">
        <v>44790.560299999997</v>
      </c>
      <c r="D40" s="125" t="s">
        <v>179</v>
      </c>
      <c r="E40" s="163">
        <f t="shared" si="1"/>
        <v>5.4857118740336883</v>
      </c>
      <c r="F40" s="166">
        <f t="shared" si="9"/>
        <v>5.5</v>
      </c>
      <c r="G40" s="165">
        <f t="shared" si="3"/>
        <v>-5.1188350043958053E-3</v>
      </c>
      <c r="H40" s="165"/>
      <c r="J40" s="9">
        <f t="shared" si="10"/>
        <v>-5.1188350043958053E-3</v>
      </c>
      <c r="O40" s="9">
        <f t="shared" ca="1" si="11"/>
        <v>6.7841246299728139E-2</v>
      </c>
      <c r="P40" s="9">
        <f t="shared" si="5"/>
        <v>-4.9722145979721293E-3</v>
      </c>
      <c r="Q40" s="11">
        <f t="shared" si="6"/>
        <v>29772.060299999997</v>
      </c>
      <c r="R40">
        <f t="shared" si="7"/>
        <v>2.1497543579843943E-8</v>
      </c>
      <c r="S40">
        <v>1</v>
      </c>
      <c r="T40">
        <f t="shared" si="8"/>
        <v>2.1497543579843943E-8</v>
      </c>
      <c r="V40" s="84">
        <v>44790.560299999997</v>
      </c>
      <c r="X40" s="9">
        <f t="shared" si="12"/>
        <v>-1.4662040642367605E-4</v>
      </c>
    </row>
    <row r="41" spans="1:24">
      <c r="A41" s="125" t="s">
        <v>178</v>
      </c>
      <c r="B41" s="126" t="s">
        <v>41</v>
      </c>
      <c r="C41" s="125">
        <v>44790.560299999997</v>
      </c>
      <c r="D41" s="125" t="s">
        <v>179</v>
      </c>
      <c r="E41" s="163">
        <f t="shared" si="1"/>
        <v>5.4857118740336883</v>
      </c>
      <c r="F41" s="166">
        <f t="shared" si="9"/>
        <v>5.5</v>
      </c>
      <c r="G41" s="165">
        <f t="shared" si="3"/>
        <v>-5.1188350043958053E-3</v>
      </c>
      <c r="H41" s="165"/>
      <c r="J41" s="9">
        <f t="shared" si="10"/>
        <v>-5.1188350043958053E-3</v>
      </c>
      <c r="O41" s="9">
        <f t="shared" ca="1" si="11"/>
        <v>6.7841246299728139E-2</v>
      </c>
      <c r="P41" s="9">
        <f t="shared" si="5"/>
        <v>-4.9722145979721293E-3</v>
      </c>
      <c r="Q41" s="11">
        <f t="shared" si="6"/>
        <v>29772.060299999997</v>
      </c>
      <c r="R41">
        <f t="shared" si="7"/>
        <v>2.1497543579843943E-8</v>
      </c>
      <c r="S41">
        <v>1</v>
      </c>
      <c r="T41">
        <f t="shared" si="8"/>
        <v>2.1497543579843943E-8</v>
      </c>
      <c r="X41" s="9">
        <f t="shared" si="12"/>
        <v>-1.4662040642367605E-4</v>
      </c>
    </row>
    <row r="42" spans="1:24">
      <c r="A42" s="127" t="s">
        <v>156</v>
      </c>
      <c r="B42" s="128"/>
      <c r="C42" s="129">
        <v>48085.46</v>
      </c>
      <c r="D42" s="129" t="s">
        <v>181</v>
      </c>
      <c r="E42" s="163">
        <f t="shared" si="1"/>
        <v>9202.4889216002593</v>
      </c>
      <c r="F42" s="166">
        <f t="shared" si="9"/>
        <v>9202.5</v>
      </c>
      <c r="G42" s="165">
        <f t="shared" si="3"/>
        <v>-3.968925004301127E-3</v>
      </c>
      <c r="H42" s="165"/>
      <c r="I42" s="9">
        <f>+G42</f>
        <v>-3.968925004301127E-3</v>
      </c>
      <c r="O42" s="9">
        <f t="shared" ca="1" si="11"/>
        <v>3.5670047732633055E-2</v>
      </c>
      <c r="P42" s="9">
        <f t="shared" si="5"/>
        <v>5.6315500612610196E-3</v>
      </c>
      <c r="Q42" s="11">
        <f t="shared" si="6"/>
        <v>33066.959999999999</v>
      </c>
      <c r="R42">
        <f t="shared" si="7"/>
        <v>9.2169121484480507E-5</v>
      </c>
      <c r="S42">
        <v>0.1</v>
      </c>
      <c r="T42">
        <f t="shared" si="8"/>
        <v>9.216912148448051E-6</v>
      </c>
      <c r="X42" s="9">
        <f t="shared" si="12"/>
        <v>-9.6004750655621467E-3</v>
      </c>
    </row>
    <row r="43" spans="1:24">
      <c r="A43" s="127" t="s">
        <v>156</v>
      </c>
      <c r="B43" s="128"/>
      <c r="C43" s="129">
        <v>48094.417999999998</v>
      </c>
      <c r="D43" s="129" t="s">
        <v>181</v>
      </c>
      <c r="E43" s="163">
        <f t="shared" si="1"/>
        <v>9227.4932501850471</v>
      </c>
      <c r="F43" s="166">
        <f t="shared" si="9"/>
        <v>9227.5</v>
      </c>
      <c r="G43" s="165">
        <f t="shared" si="3"/>
        <v>-2.4181750050047413E-3</v>
      </c>
      <c r="H43" s="165"/>
      <c r="I43" s="9">
        <f>+G43</f>
        <v>-2.4181750050047413E-3</v>
      </c>
      <c r="O43" s="9">
        <f t="shared" ca="1" si="11"/>
        <v>3.5582597481009989E-2</v>
      </c>
      <c r="P43" s="9">
        <f t="shared" si="5"/>
        <v>5.636764230690431E-3</v>
      </c>
      <c r="Q43" s="11">
        <f t="shared" si="6"/>
        <v>33075.917999999998</v>
      </c>
      <c r="R43">
        <f t="shared" si="7"/>
        <v>6.4882046090741527E-5</v>
      </c>
      <c r="S43">
        <v>0.1</v>
      </c>
      <c r="T43">
        <f t="shared" si="8"/>
        <v>6.4882046090741527E-6</v>
      </c>
      <c r="X43" s="9">
        <f t="shared" si="12"/>
        <v>-8.0549392356951723E-3</v>
      </c>
    </row>
    <row r="44" spans="1:24">
      <c r="A44" s="127" t="s">
        <v>156</v>
      </c>
      <c r="B44" s="128"/>
      <c r="C44" s="129">
        <v>48122.360999999997</v>
      </c>
      <c r="D44" s="129" t="s">
        <v>181</v>
      </c>
      <c r="E44" s="163">
        <f t="shared" si="1"/>
        <v>9305.490119312617</v>
      </c>
      <c r="F44" s="166">
        <f t="shared" si="9"/>
        <v>9305.5</v>
      </c>
      <c r="G44" s="165">
        <f t="shared" si="3"/>
        <v>-3.5398350009927526E-3</v>
      </c>
      <c r="H44" s="165"/>
      <c r="I44" s="9">
        <f>+G44</f>
        <v>-3.5398350009927526E-3</v>
      </c>
      <c r="O44" s="9">
        <f t="shared" ca="1" si="11"/>
        <v>3.5309752695946009E-2</v>
      </c>
      <c r="P44" s="9">
        <f t="shared" si="5"/>
        <v>5.6522097058726208E-3</v>
      </c>
      <c r="Q44" s="11">
        <f t="shared" si="6"/>
        <v>33103.860999999997</v>
      </c>
      <c r="R44">
        <f t="shared" si="7"/>
        <v>8.4493685893011731E-5</v>
      </c>
      <c r="S44">
        <v>0.1</v>
      </c>
      <c r="T44">
        <f t="shared" si="8"/>
        <v>8.4493685893011738E-6</v>
      </c>
      <c r="X44" s="9">
        <f t="shared" si="12"/>
        <v>-9.1920447068653734E-3</v>
      </c>
    </row>
    <row r="45" spans="1:24">
      <c r="A45" t="s">
        <v>129</v>
      </c>
      <c r="B45" s="4"/>
      <c r="C45" s="85">
        <v>48336.621099999997</v>
      </c>
      <c r="D45" s="14"/>
      <c r="E45" s="10">
        <f t="shared" si="1"/>
        <v>9903.5510640558696</v>
      </c>
      <c r="F45">
        <f t="shared" si="9"/>
        <v>9903.5</v>
      </c>
      <c r="G45" s="9">
        <f t="shared" si="3"/>
        <v>1.8294104993401561E-2</v>
      </c>
      <c r="J45" s="9">
        <f>+G45</f>
        <v>1.8294104993401561E-2</v>
      </c>
      <c r="O45" s="9">
        <f t="shared" ca="1" si="11"/>
        <v>3.3217942677122171E-2</v>
      </c>
      <c r="P45" s="9">
        <f t="shared" si="5"/>
        <v>5.7292274120837108E-3</v>
      </c>
      <c r="Q45" s="11">
        <f t="shared" si="6"/>
        <v>33318.121099999997</v>
      </c>
      <c r="R45">
        <f t="shared" si="7"/>
        <v>1.5787614863350391E-4</v>
      </c>
      <c r="S45">
        <v>1</v>
      </c>
      <c r="T45">
        <f t="shared" si="8"/>
        <v>1.5787614863350391E-4</v>
      </c>
      <c r="X45" s="9">
        <f t="shared" si="12"/>
        <v>1.256487758131785E-2</v>
      </c>
    </row>
    <row r="46" spans="1:24">
      <c r="A46" s="130" t="s">
        <v>184</v>
      </c>
      <c r="B46" s="131" t="s">
        <v>41</v>
      </c>
      <c r="C46" s="132">
        <v>48500.337</v>
      </c>
      <c r="D46" s="132">
        <v>1E-4</v>
      </c>
      <c r="E46" s="163">
        <f t="shared" si="1"/>
        <v>10360.528755298867</v>
      </c>
      <c r="F46" s="166">
        <f t="shared" si="9"/>
        <v>10360.5</v>
      </c>
      <c r="G46" s="165">
        <f t="shared" si="3"/>
        <v>1.0301814996637404E-2</v>
      </c>
      <c r="H46" s="165"/>
      <c r="K46" s="9">
        <f>+G46</f>
        <v>1.0301814996637404E-2</v>
      </c>
      <c r="O46" s="9">
        <f t="shared" ca="1" si="11"/>
        <v>3.1619352077452444E-2</v>
      </c>
      <c r="P46" s="9">
        <f t="shared" si="5"/>
        <v>5.7387116901569512E-3</v>
      </c>
      <c r="Q46" s="11">
        <f t="shared" si="6"/>
        <v>33481.837</v>
      </c>
      <c r="R46">
        <f t="shared" si="7"/>
        <v>2.0821911785612841E-5</v>
      </c>
      <c r="S46">
        <v>1</v>
      </c>
      <c r="T46">
        <f t="shared" si="8"/>
        <v>2.0821911785612841E-5</v>
      </c>
      <c r="X46" s="9">
        <f t="shared" si="12"/>
        <v>4.5631033064804528E-3</v>
      </c>
    </row>
    <row r="47" spans="1:24">
      <c r="A47" t="s">
        <v>130</v>
      </c>
      <c r="B47" s="4"/>
      <c r="C47" s="85">
        <v>51091.429700000001</v>
      </c>
      <c r="D47" s="14"/>
      <c r="E47" s="10">
        <f t="shared" si="1"/>
        <v>17593.006235143908</v>
      </c>
      <c r="F47">
        <f t="shared" si="9"/>
        <v>17593</v>
      </c>
      <c r="G47" s="9">
        <f t="shared" si="3"/>
        <v>2.2337900009006262E-3</v>
      </c>
      <c r="K47" s="9">
        <f>+G47</f>
        <v>2.2337900009006262E-3</v>
      </c>
      <c r="O47" s="9">
        <f t="shared" ca="1" si="11"/>
        <v>6.3199942828982281E-3</v>
      </c>
      <c r="P47" s="9">
        <f t="shared" si="5"/>
        <v>1.9354619372080606E-4</v>
      </c>
      <c r="Q47" s="11">
        <f t="shared" si="6"/>
        <v>36072.929700000001</v>
      </c>
      <c r="R47">
        <f t="shared" si="7"/>
        <v>4.162594792735607E-6</v>
      </c>
      <c r="S47">
        <v>1</v>
      </c>
      <c r="T47">
        <f t="shared" si="8"/>
        <v>4.162594792735607E-6</v>
      </c>
      <c r="X47" s="9">
        <f t="shared" si="12"/>
        <v>2.0402438071798201E-3</v>
      </c>
    </row>
    <row r="48" spans="1:24">
      <c r="A48" s="140" t="s">
        <v>298</v>
      </c>
      <c r="B48" s="141" t="s">
        <v>39</v>
      </c>
      <c r="C48" s="142">
        <v>51306.023000000001</v>
      </c>
      <c r="D48" s="196" t="s">
        <v>181</v>
      </c>
      <c r="E48" s="163">
        <f t="shared" si="1"/>
        <v>18191.997235958213</v>
      </c>
      <c r="F48" s="166">
        <f t="shared" si="9"/>
        <v>18192</v>
      </c>
      <c r="G48" s="165">
        <f t="shared" si="3"/>
        <v>-9.902399979182519E-4</v>
      </c>
      <c r="K48" s="9">
        <f>+G48</f>
        <v>-9.902399979182519E-4</v>
      </c>
      <c r="O48" s="9">
        <f t="shared" ca="1" si="11"/>
        <v>4.2246862540094576E-3</v>
      </c>
      <c r="P48" s="9">
        <f t="shared" si="5"/>
        <v>-7.4610343030512283E-4</v>
      </c>
      <c r="Q48" s="11">
        <f t="shared" si="6"/>
        <v>36287.523000000001</v>
      </c>
      <c r="R48">
        <f t="shared" si="7"/>
        <v>5.9602663645919945E-8</v>
      </c>
      <c r="S48">
        <v>1</v>
      </c>
      <c r="T48">
        <f t="shared" si="8"/>
        <v>5.9602663645919945E-8</v>
      </c>
      <c r="X48" s="9">
        <f t="shared" si="12"/>
        <v>-2.4413656761312907E-4</v>
      </c>
    </row>
    <row r="49" spans="1:24">
      <c r="A49" s="140" t="s">
        <v>298</v>
      </c>
      <c r="B49" s="141" t="s">
        <v>39</v>
      </c>
      <c r="C49" s="142">
        <v>51311.042999999998</v>
      </c>
      <c r="D49" s="196" t="s">
        <v>181</v>
      </c>
      <c r="E49" s="163">
        <f t="shared" si="1"/>
        <v>18206.009485287927</v>
      </c>
      <c r="F49" s="166">
        <f t="shared" si="9"/>
        <v>18206</v>
      </c>
      <c r="G49" s="165">
        <f t="shared" si="3"/>
        <v>3.3981800006586127E-3</v>
      </c>
      <c r="K49" s="9">
        <f>+G49</f>
        <v>3.3981800006586127E-3</v>
      </c>
      <c r="O49" s="9">
        <f t="shared" ca="1" si="11"/>
        <v>4.1757141131005399E-3</v>
      </c>
      <c r="P49" s="9">
        <f t="shared" si="5"/>
        <v>-7.6894404330719174E-4</v>
      </c>
      <c r="Q49" s="11">
        <f t="shared" si="6"/>
        <v>36292.542999999998</v>
      </c>
      <c r="R49">
        <f t="shared" si="7"/>
        <v>1.7364922797797921E-5</v>
      </c>
      <c r="S49">
        <v>1</v>
      </c>
      <c r="T49">
        <f t="shared" si="8"/>
        <v>1.7364922797797921E-5</v>
      </c>
      <c r="X49" s="9">
        <f t="shared" si="12"/>
        <v>4.1671240439658044E-3</v>
      </c>
    </row>
    <row r="50" spans="1:24">
      <c r="A50" s="130" t="s">
        <v>42</v>
      </c>
      <c r="B50" s="131" t="s">
        <v>39</v>
      </c>
      <c r="C50" s="132">
        <v>51314.614999999998</v>
      </c>
      <c r="D50" s="132">
        <v>2E-3</v>
      </c>
      <c r="E50" s="10">
        <f t="shared" si="1"/>
        <v>18215.979954332899</v>
      </c>
      <c r="F50">
        <f t="shared" si="9"/>
        <v>18216</v>
      </c>
      <c r="G50" s="9">
        <f t="shared" si="3"/>
        <v>-7.1815199989941902E-3</v>
      </c>
      <c r="H50" s="9">
        <f>+G50</f>
        <v>-7.1815199989941902E-3</v>
      </c>
      <c r="O50" s="9">
        <f t="shared" ca="1" si="11"/>
        <v>4.1407340124513109E-3</v>
      </c>
      <c r="P50" s="9">
        <f t="shared" si="5"/>
        <v>-7.8528334442865E-4</v>
      </c>
      <c r="Q50" s="11">
        <f t="shared" si="6"/>
        <v>36296.114999999998</v>
      </c>
      <c r="R50">
        <f t="shared" si="7"/>
        <v>4.0911843341207776E-5</v>
      </c>
      <c r="S50">
        <v>0.4</v>
      </c>
      <c r="T50">
        <f t="shared" si="8"/>
        <v>1.636473733648311E-5</v>
      </c>
      <c r="X50" s="9">
        <f t="shared" si="12"/>
        <v>-6.3962366545655402E-3</v>
      </c>
    </row>
    <row r="51" spans="1:24">
      <c r="A51" s="140" t="s">
        <v>298</v>
      </c>
      <c r="B51" s="141" t="s">
        <v>39</v>
      </c>
      <c r="C51" s="142">
        <v>51316.063999999998</v>
      </c>
      <c r="D51" s="196" t="s">
        <v>181</v>
      </c>
      <c r="E51" s="10">
        <f t="shared" si="1"/>
        <v>18220.024525902376</v>
      </c>
      <c r="F51">
        <f t="shared" si="9"/>
        <v>18220</v>
      </c>
      <c r="G51" s="9">
        <f t="shared" si="3"/>
        <v>8.7865999958012253E-3</v>
      </c>
      <c r="K51" s="9">
        <f>+G51</f>
        <v>8.7865999958012253E-3</v>
      </c>
      <c r="O51" s="9">
        <f t="shared" ca="1" si="11"/>
        <v>4.1267419721916221E-3</v>
      </c>
      <c r="P51" s="9">
        <f t="shared" si="5"/>
        <v>-7.9182479963856023E-4</v>
      </c>
      <c r="Q51" s="11">
        <f t="shared" si="6"/>
        <v>36297.563999999998</v>
      </c>
      <c r="R51">
        <f t="shared" si="7"/>
        <v>9.1746221561895701E-5</v>
      </c>
      <c r="S51">
        <v>1</v>
      </c>
      <c r="T51">
        <f t="shared" si="8"/>
        <v>9.1746221561895701E-5</v>
      </c>
      <c r="X51" s="9">
        <f t="shared" si="12"/>
        <v>9.5784247954397855E-3</v>
      </c>
    </row>
    <row r="52" spans="1:24">
      <c r="A52" s="140" t="s">
        <v>298</v>
      </c>
      <c r="B52" s="141" t="s">
        <v>39</v>
      </c>
      <c r="C52" s="142">
        <v>51331.101000000002</v>
      </c>
      <c r="D52" s="196" t="s">
        <v>181</v>
      </c>
      <c r="E52" s="10">
        <f t="shared" si="1"/>
        <v>18261.997074342831</v>
      </c>
      <c r="F52">
        <f t="shared" si="9"/>
        <v>18262</v>
      </c>
      <c r="G52" s="9">
        <f t="shared" si="3"/>
        <v>-1.0481400022399612E-3</v>
      </c>
      <c r="K52" s="9">
        <f>+G52</f>
        <v>-1.0481400022399612E-3</v>
      </c>
      <c r="O52" s="9">
        <f t="shared" ca="1" si="11"/>
        <v>3.9798255494648688E-3</v>
      </c>
      <c r="P52" s="9">
        <f t="shared" si="5"/>
        <v>-8.6070792860839379E-4</v>
      </c>
      <c r="Q52" s="11">
        <f t="shared" si="6"/>
        <v>36312.601000000002</v>
      </c>
      <c r="R52">
        <f t="shared" si="7"/>
        <v>3.5130782225829296E-8</v>
      </c>
      <c r="S52">
        <v>1</v>
      </c>
      <c r="T52">
        <f t="shared" si="8"/>
        <v>3.5130782225829296E-8</v>
      </c>
      <c r="X52" s="9">
        <f t="shared" si="12"/>
        <v>-1.8743207363156739E-4</v>
      </c>
    </row>
    <row r="53" spans="1:24">
      <c r="A53" t="s">
        <v>42</v>
      </c>
      <c r="B53" s="4" t="s">
        <v>39</v>
      </c>
      <c r="C53" s="14">
        <v>51338.803819784996</v>
      </c>
      <c r="D53" s="14"/>
      <c r="E53" s="10">
        <f t="shared" ref="E53:E84" si="13">+(C53-C$7)/C$8</f>
        <v>18283.497837563798</v>
      </c>
      <c r="F53">
        <f t="shared" si="9"/>
        <v>18283.5</v>
      </c>
      <c r="G53" s="9">
        <f t="shared" ref="G53:G84" si="14">+C53-(C$7+F53*C$8)</f>
        <v>-7.7471000258810818E-4</v>
      </c>
      <c r="H53" s="9">
        <f>G53</f>
        <v>-7.7471000258810818E-4</v>
      </c>
      <c r="O53" s="9">
        <f t="shared" ca="1" si="11"/>
        <v>3.9046183330690293E-3</v>
      </c>
      <c r="P53" s="9">
        <f t="shared" ref="P53:P84" si="15">+D$11+D$12*F53+D$13*F53^2</f>
        <v>-8.9610934075192578E-4</v>
      </c>
      <c r="Q53" s="11">
        <f t="shared" ref="Q53:Q84" si="16">+C53-15018.5</f>
        <v>36320.303819784996</v>
      </c>
      <c r="R53">
        <f t="shared" ref="R53:R84" si="17">+(P53-G53)^2</f>
        <v>1.4737799306612938E-8</v>
      </c>
      <c r="S53">
        <v>0.1</v>
      </c>
      <c r="T53">
        <f t="shared" ref="T53:T84" si="18">S53*R53</f>
        <v>1.4737799306612938E-9</v>
      </c>
      <c r="X53" s="9">
        <f t="shared" si="12"/>
        <v>1.2139933816381759E-4</v>
      </c>
    </row>
    <row r="54" spans="1:24">
      <c r="A54" s="130" t="s">
        <v>42</v>
      </c>
      <c r="B54" s="131" t="s">
        <v>39</v>
      </c>
      <c r="C54" s="132">
        <v>51615.201000000001</v>
      </c>
      <c r="D54" s="132">
        <v>2E-3</v>
      </c>
      <c r="E54" s="10">
        <f t="shared" si="13"/>
        <v>19055.001065293818</v>
      </c>
      <c r="F54">
        <f t="shared" si="9"/>
        <v>19055</v>
      </c>
      <c r="G54" s="9">
        <f t="shared" si="14"/>
        <v>3.8165000296430662E-4</v>
      </c>
      <c r="H54" s="9">
        <f>+G54</f>
        <v>3.8165000296430662E-4</v>
      </c>
      <c r="O54" s="9">
        <f t="shared" ca="1" si="11"/>
        <v>1.2059035679810731E-3</v>
      </c>
      <c r="P54" s="9">
        <f t="shared" si="15"/>
        <v>-2.2290959509447539E-3</v>
      </c>
      <c r="Q54" s="11">
        <f t="shared" si="16"/>
        <v>36596.701000000001</v>
      </c>
      <c r="R54">
        <f t="shared" si="17"/>
        <v>6.8159944358525301E-6</v>
      </c>
      <c r="S54">
        <v>0.4</v>
      </c>
      <c r="T54">
        <f t="shared" si="18"/>
        <v>2.7263977743410121E-6</v>
      </c>
      <c r="X54" s="9">
        <f t="shared" si="12"/>
        <v>2.6107459539090605E-3</v>
      </c>
    </row>
    <row r="55" spans="1:24">
      <c r="A55" s="77" t="s">
        <v>38</v>
      </c>
      <c r="B55" s="74" t="s">
        <v>39</v>
      </c>
      <c r="C55" s="78">
        <v>52016.981609549999</v>
      </c>
      <c r="D55" s="78"/>
      <c r="E55" s="10">
        <f t="shared" si="13"/>
        <v>20176.48514435003</v>
      </c>
      <c r="F55">
        <f t="shared" si="9"/>
        <v>20176.5</v>
      </c>
      <c r="G55" s="9">
        <f t="shared" si="14"/>
        <v>-5.322155004250817E-3</v>
      </c>
      <c r="K55" s="9">
        <f>G55</f>
        <v>-5.322155004250817E-3</v>
      </c>
      <c r="O55" s="9">
        <f t="shared" ca="1" si="11"/>
        <v>-2.7171147198298551E-3</v>
      </c>
      <c r="P55" s="9">
        <f t="shared" si="15"/>
        <v>-4.3842163770922427E-3</v>
      </c>
      <c r="Q55" s="11">
        <f t="shared" si="16"/>
        <v>36998.481609549999</v>
      </c>
      <c r="R55">
        <f t="shared" si="17"/>
        <v>8.7972886831611113E-7</v>
      </c>
      <c r="S55">
        <v>0.1</v>
      </c>
      <c r="T55">
        <f t="shared" si="18"/>
        <v>8.7972886831611124E-8</v>
      </c>
      <c r="X55" s="9">
        <f t="shared" si="12"/>
        <v>-9.3793862715857435E-4</v>
      </c>
    </row>
    <row r="56" spans="1:24">
      <c r="A56" s="130" t="s">
        <v>38</v>
      </c>
      <c r="B56" s="131" t="s">
        <v>39</v>
      </c>
      <c r="C56" s="132">
        <v>52034.711000000003</v>
      </c>
      <c r="D56" s="132">
        <v>3.0000000000000001E-3</v>
      </c>
      <c r="E56" s="10">
        <f t="shared" si="13"/>
        <v>20225.972921132787</v>
      </c>
      <c r="F56">
        <f t="shared" si="9"/>
        <v>20226</v>
      </c>
      <c r="G56" s="9">
        <f t="shared" si="14"/>
        <v>-9.7012199985329062E-3</v>
      </c>
      <c r="K56" s="9">
        <f>+G56</f>
        <v>-9.7012199985329062E-3</v>
      </c>
      <c r="O56" s="9">
        <f t="shared" ca="1" si="11"/>
        <v>-2.8902662180435301E-3</v>
      </c>
      <c r="P56" s="9">
        <f t="shared" si="15"/>
        <v>-4.4852735473657271E-3</v>
      </c>
      <c r="Q56" s="11">
        <f t="shared" si="16"/>
        <v>37016.211000000003</v>
      </c>
      <c r="R56">
        <f t="shared" si="17"/>
        <v>2.7206097381443489E-5</v>
      </c>
      <c r="S56">
        <v>0.4</v>
      </c>
      <c r="T56">
        <f t="shared" si="18"/>
        <v>1.0882438952577396E-5</v>
      </c>
      <c r="X56" s="9">
        <f t="shared" si="12"/>
        <v>-5.2159464511671791E-3</v>
      </c>
    </row>
    <row r="57" spans="1:24">
      <c r="A57" s="130" t="s">
        <v>38</v>
      </c>
      <c r="B57" s="131" t="s">
        <v>39</v>
      </c>
      <c r="C57" s="132">
        <v>52475.012000000002</v>
      </c>
      <c r="D57" s="132">
        <v>2E-3</v>
      </c>
      <c r="E57" s="10">
        <f t="shared" si="13"/>
        <v>21454.978377731561</v>
      </c>
      <c r="F57">
        <f t="shared" si="9"/>
        <v>21455</v>
      </c>
      <c r="G57" s="9">
        <f t="shared" si="14"/>
        <v>-7.7463499983423389E-3</v>
      </c>
      <c r="K57" s="9">
        <f>+G57</f>
        <v>-7.7463499983423389E-3</v>
      </c>
      <c r="O57" s="9">
        <f t="shared" ca="1" si="11"/>
        <v>-7.1893205878336697E-3</v>
      </c>
      <c r="P57" s="9">
        <f t="shared" si="15"/>
        <v>-7.1552584046489162E-3</v>
      </c>
      <c r="Q57" s="11">
        <f t="shared" si="16"/>
        <v>37456.512000000002</v>
      </c>
      <c r="R57">
        <f t="shared" si="17"/>
        <v>3.4938927213503033E-7</v>
      </c>
      <c r="S57">
        <v>0.4</v>
      </c>
      <c r="T57">
        <f t="shared" si="18"/>
        <v>1.3975570885401213E-7</v>
      </c>
      <c r="X57" s="9">
        <f t="shared" si="12"/>
        <v>-5.9109159369342273E-4</v>
      </c>
    </row>
    <row r="58" spans="1:24">
      <c r="A58" s="28" t="s">
        <v>124</v>
      </c>
      <c r="B58" s="74" t="s">
        <v>39</v>
      </c>
      <c r="C58" s="79">
        <v>52725.434500000003</v>
      </c>
      <c r="D58" s="79">
        <v>1E-4</v>
      </c>
      <c r="E58" s="10">
        <f t="shared" si="13"/>
        <v>22153.978877287787</v>
      </c>
      <c r="F58">
        <f t="shared" si="9"/>
        <v>22154</v>
      </c>
      <c r="G58" s="9">
        <f t="shared" si="14"/>
        <v>-7.5673799947253428E-3</v>
      </c>
      <c r="K58" s="9">
        <f t="shared" ref="K58:K64" si="19">G58</f>
        <v>-7.5673799947253428E-3</v>
      </c>
      <c r="O58" s="9">
        <f t="shared" ca="1" si="11"/>
        <v>-9.634429623214702E-3</v>
      </c>
      <c r="P58" s="9">
        <f t="shared" si="15"/>
        <v>-8.8118361786136273E-3</v>
      </c>
      <c r="Q58" s="11">
        <f t="shared" si="16"/>
        <v>37706.934500000003</v>
      </c>
      <c r="R58">
        <f t="shared" si="17"/>
        <v>1.5486711936177918E-6</v>
      </c>
      <c r="S58">
        <v>1</v>
      </c>
      <c r="T58">
        <f t="shared" si="18"/>
        <v>1.5486711936177918E-6</v>
      </c>
      <c r="X58" s="9">
        <f t="shared" si="12"/>
        <v>1.2444561838882845E-3</v>
      </c>
    </row>
    <row r="59" spans="1:24">
      <c r="A59" s="28" t="s">
        <v>124</v>
      </c>
      <c r="B59" s="74" t="s">
        <v>41</v>
      </c>
      <c r="C59" s="79">
        <v>52725.613499999999</v>
      </c>
      <c r="D59" s="79">
        <v>2.0000000000000001E-4</v>
      </c>
      <c r="E59" s="10">
        <f t="shared" si="13"/>
        <v>22154.47851725392</v>
      </c>
      <c r="F59">
        <f t="shared" si="9"/>
        <v>22154.5</v>
      </c>
      <c r="G59" s="9">
        <f t="shared" si="14"/>
        <v>-7.6963649989920668E-3</v>
      </c>
      <c r="K59" s="9">
        <f t="shared" si="19"/>
        <v>-7.6963649989920668E-3</v>
      </c>
      <c r="O59" s="9">
        <f t="shared" ca="1" si="11"/>
        <v>-9.6361786282471718E-3</v>
      </c>
      <c r="P59" s="9">
        <f t="shared" si="15"/>
        <v>-8.8130569579126308E-3</v>
      </c>
      <c r="Q59" s="11">
        <f t="shared" si="16"/>
        <v>37707.113499999999</v>
      </c>
      <c r="R59">
        <f t="shared" si="17"/>
        <v>1.2470009311178466E-6</v>
      </c>
      <c r="S59">
        <v>1</v>
      </c>
      <c r="T59">
        <f t="shared" si="18"/>
        <v>1.2470009311178466E-6</v>
      </c>
      <c r="X59" s="9">
        <f t="shared" si="12"/>
        <v>1.116691958920564E-3</v>
      </c>
    </row>
    <row r="60" spans="1:24">
      <c r="A60" s="28" t="s">
        <v>124</v>
      </c>
      <c r="B60" s="74" t="s">
        <v>39</v>
      </c>
      <c r="C60" s="79">
        <v>52726.509700000002</v>
      </c>
      <c r="D60" s="79">
        <v>1E-4</v>
      </c>
      <c r="E60" s="10">
        <f t="shared" si="13"/>
        <v>22156.980066626296</v>
      </c>
      <c r="F60">
        <f t="shared" si="9"/>
        <v>22157</v>
      </c>
      <c r="G60" s="9">
        <f t="shared" si="14"/>
        <v>-7.1412899997085333E-3</v>
      </c>
      <c r="K60" s="9">
        <f t="shared" si="19"/>
        <v>-7.1412899997085333E-3</v>
      </c>
      <c r="O60" s="9">
        <f t="shared" ca="1" si="11"/>
        <v>-9.644923653409479E-3</v>
      </c>
      <c r="P60" s="9">
        <f t="shared" si="15"/>
        <v>-8.819161622456044E-3</v>
      </c>
      <c r="Q60" s="11">
        <f t="shared" si="16"/>
        <v>37708.009700000002</v>
      </c>
      <c r="R60">
        <f t="shared" si="17"/>
        <v>2.8152531824213648E-6</v>
      </c>
      <c r="S60">
        <v>1</v>
      </c>
      <c r="T60">
        <f t="shared" si="18"/>
        <v>2.8152531824213648E-6</v>
      </c>
      <c r="X60" s="9">
        <f t="shared" si="12"/>
        <v>1.6778716227475107E-3</v>
      </c>
    </row>
    <row r="61" spans="1:24">
      <c r="A61" s="28" t="s">
        <v>124</v>
      </c>
      <c r="B61" s="74" t="s">
        <v>41</v>
      </c>
      <c r="C61" s="79">
        <v>52727.404699999999</v>
      </c>
      <c r="D61" s="79"/>
      <c r="E61" s="10">
        <f t="shared" si="13"/>
        <v>22159.478266456983</v>
      </c>
      <c r="F61">
        <f t="shared" si="9"/>
        <v>22159.5</v>
      </c>
      <c r="G61" s="9">
        <f t="shared" si="14"/>
        <v>-7.7862149992142804E-3</v>
      </c>
      <c r="K61" s="9">
        <f t="shared" si="19"/>
        <v>-7.7862149992142804E-3</v>
      </c>
      <c r="O61" s="9">
        <f t="shared" ca="1" si="11"/>
        <v>-9.6536686785717862E-3</v>
      </c>
      <c r="P61" s="9">
        <f t="shared" si="15"/>
        <v>-8.8252675670801028E-3</v>
      </c>
      <c r="Q61" s="11">
        <f t="shared" si="16"/>
        <v>37708.904699999999</v>
      </c>
      <c r="R61">
        <f t="shared" si="17"/>
        <v>1.0796302387885595E-6</v>
      </c>
      <c r="S61">
        <v>1</v>
      </c>
      <c r="T61">
        <f t="shared" si="18"/>
        <v>1.0796302387885595E-6</v>
      </c>
      <c r="X61" s="9">
        <f t="shared" si="12"/>
        <v>1.0390525678658225E-3</v>
      </c>
    </row>
    <row r="62" spans="1:24">
      <c r="A62" s="28" t="s">
        <v>124</v>
      </c>
      <c r="B62" s="74" t="s">
        <v>41</v>
      </c>
      <c r="C62" s="79">
        <v>52727.404999999999</v>
      </c>
      <c r="D62" s="79">
        <v>2.0000000000000001E-4</v>
      </c>
      <c r="E62" s="10">
        <f t="shared" si="13"/>
        <v>22159.479103842401</v>
      </c>
      <c r="F62">
        <f t="shared" si="9"/>
        <v>22159.5</v>
      </c>
      <c r="G62" s="9">
        <f t="shared" si="14"/>
        <v>-7.4862149995169602E-3</v>
      </c>
      <c r="K62" s="9">
        <f t="shared" si="19"/>
        <v>-7.4862149995169602E-3</v>
      </c>
      <c r="O62" s="9">
        <f t="shared" ca="1" si="11"/>
        <v>-9.6536686785717862E-3</v>
      </c>
      <c r="P62" s="9">
        <f t="shared" si="15"/>
        <v>-8.8252675670801028E-3</v>
      </c>
      <c r="Q62" s="11">
        <f t="shared" si="16"/>
        <v>37708.904999999999</v>
      </c>
      <c r="R62">
        <f t="shared" si="17"/>
        <v>1.7930617786974447E-6</v>
      </c>
      <c r="S62">
        <v>1</v>
      </c>
      <c r="T62">
        <f t="shared" si="18"/>
        <v>1.7930617786974447E-6</v>
      </c>
      <c r="X62" s="9">
        <f t="shared" si="12"/>
        <v>1.3390525675631426E-3</v>
      </c>
    </row>
    <row r="63" spans="1:24">
      <c r="A63" s="28" t="s">
        <v>124</v>
      </c>
      <c r="B63" s="74" t="s">
        <v>39</v>
      </c>
      <c r="C63" s="79">
        <v>52727.584699999999</v>
      </c>
      <c r="D63" s="79">
        <v>2.9999999999999997E-4</v>
      </c>
      <c r="E63" s="10">
        <f t="shared" si="13"/>
        <v>22159.980697707852</v>
      </c>
      <c r="F63">
        <f t="shared" si="9"/>
        <v>22160</v>
      </c>
      <c r="G63" s="9">
        <f t="shared" si="14"/>
        <v>-6.9151999996392988E-3</v>
      </c>
      <c r="K63" s="9">
        <f t="shared" si="19"/>
        <v>-6.9151999996392988E-3</v>
      </c>
      <c r="O63" s="9">
        <f t="shared" ca="1" si="11"/>
        <v>-9.6554176836042421E-3</v>
      </c>
      <c r="P63" s="9">
        <f t="shared" si="15"/>
        <v>-8.8264889096145924E-3</v>
      </c>
      <c r="Q63" s="11">
        <f t="shared" si="16"/>
        <v>37709.084699999999</v>
      </c>
      <c r="R63">
        <f t="shared" si="17"/>
        <v>3.653025297394546E-6</v>
      </c>
      <c r="S63">
        <v>1</v>
      </c>
      <c r="T63">
        <f t="shared" si="18"/>
        <v>3.653025297394546E-6</v>
      </c>
      <c r="X63" s="9">
        <f t="shared" si="12"/>
        <v>1.9112889099752936E-3</v>
      </c>
    </row>
    <row r="64" spans="1:24">
      <c r="A64" s="28" t="s">
        <v>124</v>
      </c>
      <c r="B64" s="74" t="s">
        <v>41</v>
      </c>
      <c r="C64" s="79">
        <v>52730.630400000002</v>
      </c>
      <c r="D64" s="79">
        <v>4.0000000000000002E-4</v>
      </c>
      <c r="E64" s="10">
        <f t="shared" si="13"/>
        <v>22168.482113600992</v>
      </c>
      <c r="F64">
        <f t="shared" si="9"/>
        <v>22168.5</v>
      </c>
      <c r="G64" s="9">
        <f t="shared" si="14"/>
        <v>-6.407945002138149E-3</v>
      </c>
      <c r="K64" s="9">
        <f t="shared" si="19"/>
        <v>-6.407945002138149E-3</v>
      </c>
      <c r="O64" s="9">
        <f t="shared" ca="1" si="11"/>
        <v>-9.6851507691560895E-3</v>
      </c>
      <c r="P64" s="9">
        <f t="shared" si="15"/>
        <v>-8.8472595667945519E-3</v>
      </c>
      <c r="Q64" s="11">
        <f t="shared" si="16"/>
        <v>37712.130400000002</v>
      </c>
      <c r="R64">
        <f t="shared" si="17"/>
        <v>5.9502555453448563E-6</v>
      </c>
      <c r="S64">
        <v>1</v>
      </c>
      <c r="T64">
        <f t="shared" si="18"/>
        <v>5.9502555453448563E-6</v>
      </c>
      <c r="X64" s="9">
        <f t="shared" si="12"/>
        <v>2.439314564656403E-3</v>
      </c>
    </row>
    <row r="65" spans="1:24">
      <c r="A65" s="140" t="s">
        <v>312</v>
      </c>
      <c r="B65" s="141" t="s">
        <v>39</v>
      </c>
      <c r="C65" s="142">
        <v>52761.080600000001</v>
      </c>
      <c r="D65" s="196" t="s">
        <v>181</v>
      </c>
      <c r="E65" s="10">
        <f t="shared" si="13"/>
        <v>22253.477291796189</v>
      </c>
      <c r="F65">
        <f t="shared" si="9"/>
        <v>22253.5</v>
      </c>
      <c r="G65" s="9">
        <f t="shared" si="14"/>
        <v>-8.1353950008633547E-3</v>
      </c>
      <c r="K65" s="9">
        <f>+G65</f>
        <v>-8.1353950008633547E-3</v>
      </c>
      <c r="O65" s="9">
        <f t="shared" ca="1" si="11"/>
        <v>-9.9824816246745218E-3</v>
      </c>
      <c r="P65" s="9">
        <f t="shared" si="15"/>
        <v>-9.0557800138735406E-3</v>
      </c>
      <c r="Q65" s="11">
        <f t="shared" si="16"/>
        <v>37742.580600000001</v>
      </c>
      <c r="R65">
        <f t="shared" si="17"/>
        <v>8.471085721737601E-7</v>
      </c>
      <c r="S65">
        <v>1</v>
      </c>
      <c r="T65">
        <f t="shared" si="18"/>
        <v>8.471085721737601E-7</v>
      </c>
      <c r="X65" s="9">
        <f t="shared" si="12"/>
        <v>9.2038501301018594E-4</v>
      </c>
    </row>
    <row r="66" spans="1:24">
      <c r="A66" s="140" t="s">
        <v>312</v>
      </c>
      <c r="B66" s="141" t="s">
        <v>41</v>
      </c>
      <c r="C66" s="142">
        <v>52763.05</v>
      </c>
      <c r="D66" s="196" t="s">
        <v>181</v>
      </c>
      <c r="E66" s="10">
        <f t="shared" si="13"/>
        <v>22258.97444793762</v>
      </c>
      <c r="F66">
        <f t="shared" ref="F66:F97" si="20">ROUND(2*E66,0)/2</f>
        <v>22259</v>
      </c>
      <c r="G66" s="9">
        <f t="shared" si="14"/>
        <v>-9.1542299996945076E-3</v>
      </c>
      <c r="K66" s="9">
        <f>+G66</f>
        <v>-9.1542299996945076E-3</v>
      </c>
      <c r="O66" s="9">
        <f t="shared" ref="O66:O97" ca="1" si="21">+C$11+C$12*F66</f>
        <v>-1.0001720680031606E-2</v>
      </c>
      <c r="P66" s="9">
        <f t="shared" si="15"/>
        <v>-9.0693234862020342E-3</v>
      </c>
      <c r="Q66" s="11">
        <f t="shared" si="16"/>
        <v>37744.550000000003</v>
      </c>
      <c r="R66">
        <f t="shared" si="17"/>
        <v>7.2091160334475692E-9</v>
      </c>
      <c r="S66">
        <v>1</v>
      </c>
      <c r="T66">
        <f t="shared" si="18"/>
        <v>7.2091160334475692E-9</v>
      </c>
      <c r="X66" s="9">
        <f t="shared" si="12"/>
        <v>-8.4906513492473412E-5</v>
      </c>
    </row>
    <row r="67" spans="1:24">
      <c r="A67" s="130" t="s">
        <v>38</v>
      </c>
      <c r="B67" s="131" t="s">
        <v>39</v>
      </c>
      <c r="C67" s="132">
        <v>52773.798999999999</v>
      </c>
      <c r="D67" s="132">
        <v>2E-3</v>
      </c>
      <c r="E67" s="10">
        <f t="shared" si="13"/>
        <v>22288.97796746852</v>
      </c>
      <c r="F67">
        <f t="shared" si="20"/>
        <v>22289</v>
      </c>
      <c r="G67" s="9">
        <f t="shared" si="14"/>
        <v>-7.893330002843868E-3</v>
      </c>
      <c r="K67" s="9">
        <f>+G67</f>
        <v>-7.893330002843868E-3</v>
      </c>
      <c r="O67" s="9">
        <f t="shared" ca="1" si="21"/>
        <v>-1.0106660981979279E-2</v>
      </c>
      <c r="P67" s="9">
        <f t="shared" si="15"/>
        <v>-9.1433060345018635E-3</v>
      </c>
      <c r="Q67" s="11">
        <f t="shared" si="16"/>
        <v>37755.298999999999</v>
      </c>
      <c r="R67">
        <f t="shared" si="17"/>
        <v>1.5624400797194703E-6</v>
      </c>
      <c r="S67">
        <v>0.4</v>
      </c>
      <c r="T67">
        <f t="shared" si="18"/>
        <v>6.2497603188778818E-7</v>
      </c>
      <c r="X67" s="9">
        <f t="shared" ref="X67:X88" si="22">G67-P67</f>
        <v>1.2499760316579955E-3</v>
      </c>
    </row>
    <row r="68" spans="1:24">
      <c r="A68" s="130" t="s">
        <v>38</v>
      </c>
      <c r="B68" s="131" t="s">
        <v>39</v>
      </c>
      <c r="C68" s="132">
        <v>53132.762999999999</v>
      </c>
      <c r="D68" s="132">
        <v>3.0000000000000001E-3</v>
      </c>
      <c r="E68" s="10">
        <f t="shared" si="13"/>
        <v>23290.948698224351</v>
      </c>
      <c r="F68">
        <f t="shared" si="20"/>
        <v>23291</v>
      </c>
      <c r="G68" s="9">
        <f t="shared" si="14"/>
        <v>-1.8379270004516002E-2</v>
      </c>
      <c r="K68" s="9">
        <f>+G68</f>
        <v>-1.8379270004516002E-2</v>
      </c>
      <c r="O68" s="9">
        <f t="shared" ca="1" si="21"/>
        <v>-1.3611667067031943E-2</v>
      </c>
      <c r="P68" s="9">
        <f t="shared" si="15"/>
        <v>-1.1720217973380881E-2</v>
      </c>
      <c r="Q68" s="11">
        <f t="shared" si="16"/>
        <v>38114.262999999999</v>
      </c>
      <c r="R68">
        <f t="shared" si="17"/>
        <v>4.4342973953364779E-5</v>
      </c>
      <c r="S68">
        <v>0.4</v>
      </c>
      <c r="T68">
        <f t="shared" si="18"/>
        <v>1.7737189581345912E-5</v>
      </c>
      <c r="X68" s="9">
        <f t="shared" si="22"/>
        <v>-6.6590520311351209E-3</v>
      </c>
    </row>
    <row r="69" spans="1:24">
      <c r="A69" s="35" t="s">
        <v>157</v>
      </c>
      <c r="B69" s="114" t="s">
        <v>39</v>
      </c>
      <c r="C69" s="86">
        <v>53189.010199999997</v>
      </c>
      <c r="D69" s="86"/>
      <c r="E69" s="115">
        <f t="shared" si="13"/>
        <v>23447.950648522896</v>
      </c>
      <c r="F69" s="116">
        <f t="shared" si="20"/>
        <v>23448</v>
      </c>
      <c r="G69" s="117">
        <f t="shared" si="14"/>
        <v>-1.7680560005828738E-2</v>
      </c>
      <c r="K69" s="9">
        <f>G69</f>
        <v>-1.7680560005828738E-2</v>
      </c>
      <c r="O69" s="9">
        <f t="shared" ca="1" si="21"/>
        <v>-1.4160854647224816E-2</v>
      </c>
      <c r="P69" s="9">
        <f t="shared" si="15"/>
        <v>-1.2142619797781855E-2</v>
      </c>
      <c r="Q69" s="11">
        <f t="shared" si="16"/>
        <v>38170.510199999997</v>
      </c>
      <c r="R69">
        <f t="shared" si="17"/>
        <v>3.0668781747902359E-5</v>
      </c>
      <c r="S69">
        <v>1</v>
      </c>
      <c r="T69">
        <f t="shared" si="18"/>
        <v>3.0668781747902359E-5</v>
      </c>
      <c r="X69" s="9">
        <f t="shared" si="22"/>
        <v>-5.5379402080468834E-3</v>
      </c>
    </row>
    <row r="70" spans="1:24">
      <c r="A70" s="35" t="s">
        <v>157</v>
      </c>
      <c r="B70" s="114"/>
      <c r="C70" s="86">
        <v>53190.977599999998</v>
      </c>
      <c r="D70" s="86"/>
      <c r="E70" s="115">
        <f t="shared" si="13"/>
        <v>23453.442222094873</v>
      </c>
      <c r="F70" s="116">
        <f t="shared" si="20"/>
        <v>23453.5</v>
      </c>
      <c r="G70" s="117">
        <f t="shared" si="14"/>
        <v>-2.0699395005067345E-2</v>
      </c>
      <c r="K70" s="9">
        <f>G70</f>
        <v>-2.0699395005067345E-2</v>
      </c>
      <c r="O70" s="9">
        <f t="shared" ca="1" si="21"/>
        <v>-1.41800937025819E-2</v>
      </c>
      <c r="P70" s="9">
        <f t="shared" si="15"/>
        <v>-1.2157508839690009E-2</v>
      </c>
      <c r="Q70" s="11">
        <f t="shared" si="16"/>
        <v>38172.477599999998</v>
      </c>
      <c r="R70">
        <f t="shared" si="17"/>
        <v>7.2963819262264717E-5</v>
      </c>
      <c r="S70">
        <v>1</v>
      </c>
      <c r="T70">
        <f t="shared" si="18"/>
        <v>7.2963819262264717E-5</v>
      </c>
      <c r="X70" s="9">
        <f t="shared" si="22"/>
        <v>-8.5418861653773354E-3</v>
      </c>
    </row>
    <row r="71" spans="1:24">
      <c r="A71" s="28" t="s">
        <v>124</v>
      </c>
      <c r="B71" s="74" t="s">
        <v>41</v>
      </c>
      <c r="C71" s="79">
        <v>53438.895199999999</v>
      </c>
      <c r="D71" s="79">
        <v>2.9999999999999997E-4</v>
      </c>
      <c r="E71" s="10">
        <f t="shared" si="13"/>
        <v>24145.450832538347</v>
      </c>
      <c r="F71">
        <f t="shared" si="20"/>
        <v>24145.5</v>
      </c>
      <c r="G71" s="9">
        <f t="shared" si="14"/>
        <v>-1.7614634998608381E-2</v>
      </c>
      <c r="K71" s="9">
        <f>G71</f>
        <v>-1.7614634998608381E-2</v>
      </c>
      <c r="O71" s="9">
        <f t="shared" ca="1" si="21"/>
        <v>-1.6600716667508481E-2</v>
      </c>
      <c r="P71" s="9">
        <f t="shared" si="15"/>
        <v>-1.4080249543908165E-2</v>
      </c>
      <c r="Q71" s="11">
        <f t="shared" si="16"/>
        <v>38420.395199999999</v>
      </c>
      <c r="R71">
        <f t="shared" si="17"/>
        <v>1.2491880542396452E-5</v>
      </c>
      <c r="S71">
        <v>1</v>
      </c>
      <c r="T71">
        <f t="shared" si="18"/>
        <v>1.2491880542396452E-5</v>
      </c>
      <c r="X71" s="9">
        <f t="shared" si="22"/>
        <v>-3.534385454700216E-3</v>
      </c>
    </row>
    <row r="72" spans="1:24">
      <c r="A72" s="28" t="s">
        <v>47</v>
      </c>
      <c r="B72" s="29" t="s">
        <v>39</v>
      </c>
      <c r="C72" s="30">
        <v>53450.538699999997</v>
      </c>
      <c r="D72" s="31">
        <v>4.0000000000000002E-4</v>
      </c>
      <c r="E72" s="10">
        <f t="shared" si="13"/>
        <v>24177.95115625759</v>
      </c>
      <c r="F72">
        <f t="shared" si="20"/>
        <v>24178</v>
      </c>
      <c r="G72" s="9">
        <f t="shared" si="14"/>
        <v>-1.7498660003184341E-2</v>
      </c>
      <c r="K72" s="9">
        <f t="shared" ref="K72:K119" si="23">+G72</f>
        <v>-1.7498660003184341E-2</v>
      </c>
      <c r="O72" s="9">
        <f t="shared" ca="1" si="21"/>
        <v>-1.6714401994618475E-2</v>
      </c>
      <c r="P72" s="9">
        <f t="shared" si="15"/>
        <v>-1.4172962960284578E-2</v>
      </c>
      <c r="Q72" s="11">
        <f t="shared" si="16"/>
        <v>38432.038699999997</v>
      </c>
      <c r="R72">
        <f t="shared" si="17"/>
        <v>1.1060260821152225E-5</v>
      </c>
      <c r="S72">
        <v>1</v>
      </c>
      <c r="T72">
        <f t="shared" si="18"/>
        <v>1.1060260821152225E-5</v>
      </c>
      <c r="X72" s="9">
        <f t="shared" si="22"/>
        <v>-3.3256970428997626E-3</v>
      </c>
    </row>
    <row r="73" spans="1:24">
      <c r="A73" s="28" t="s">
        <v>49</v>
      </c>
      <c r="B73" s="74" t="s">
        <v>41</v>
      </c>
      <c r="C73" s="75">
        <v>53509.829700000002</v>
      </c>
      <c r="D73" s="75">
        <v>5.9999999999999995E-4</v>
      </c>
      <c r="E73" s="10">
        <f t="shared" si="13"/>
        <v>24343.449219008307</v>
      </c>
      <c r="F73">
        <f t="shared" si="20"/>
        <v>24343.5</v>
      </c>
      <c r="G73" s="9">
        <f t="shared" si="14"/>
        <v>-1.8192695002653636E-2</v>
      </c>
      <c r="K73" s="9">
        <f t="shared" si="23"/>
        <v>-1.8192695002653636E-2</v>
      </c>
      <c r="O73" s="9">
        <f t="shared" ca="1" si="21"/>
        <v>-1.7293322660363195E-2</v>
      </c>
      <c r="P73" s="9">
        <f t="shared" si="15"/>
        <v>-1.464844396071293E-2</v>
      </c>
      <c r="Q73" s="11">
        <f t="shared" si="16"/>
        <v>38491.329700000002</v>
      </c>
      <c r="R73">
        <f t="shared" si="17"/>
        <v>1.2561715448297781E-5</v>
      </c>
      <c r="S73">
        <v>1</v>
      </c>
      <c r="T73">
        <f t="shared" si="18"/>
        <v>1.2561715448297781E-5</v>
      </c>
      <c r="X73" s="9">
        <f t="shared" si="22"/>
        <v>-3.5442510419407061E-3</v>
      </c>
    </row>
    <row r="74" spans="1:24">
      <c r="A74" s="28" t="s">
        <v>49</v>
      </c>
      <c r="B74" s="74" t="s">
        <v>41</v>
      </c>
      <c r="C74" s="75">
        <v>53511.6204</v>
      </c>
      <c r="D74" s="75">
        <v>1E-3</v>
      </c>
      <c r="E74" s="10">
        <f t="shared" si="13"/>
        <v>24348.447572569003</v>
      </c>
      <c r="F74">
        <f t="shared" si="20"/>
        <v>24348.5</v>
      </c>
      <c r="G74" s="9">
        <f t="shared" si="14"/>
        <v>-1.8782544997520745E-2</v>
      </c>
      <c r="K74" s="9">
        <f t="shared" si="23"/>
        <v>-1.8782544997520745E-2</v>
      </c>
      <c r="O74" s="9">
        <f t="shared" ca="1" si="21"/>
        <v>-1.7310812710687809E-2</v>
      </c>
      <c r="P74" s="9">
        <f t="shared" si="15"/>
        <v>-1.4662896247120694E-2</v>
      </c>
      <c r="Q74" s="11">
        <f t="shared" si="16"/>
        <v>38493.1204</v>
      </c>
      <c r="R74">
        <f t="shared" si="17"/>
        <v>1.6971505826672703E-5</v>
      </c>
      <c r="S74">
        <v>0.5</v>
      </c>
      <c r="T74">
        <f t="shared" si="18"/>
        <v>8.4857529133363516E-6</v>
      </c>
      <c r="X74" s="9">
        <f t="shared" si="22"/>
        <v>-4.1196487504000512E-3</v>
      </c>
    </row>
    <row r="75" spans="1:24">
      <c r="A75" s="28" t="s">
        <v>49</v>
      </c>
      <c r="B75" s="74" t="s">
        <v>39</v>
      </c>
      <c r="C75" s="75">
        <v>53511.798499999997</v>
      </c>
      <c r="D75" s="75">
        <v>2.0999999999999999E-3</v>
      </c>
      <c r="E75" s="10">
        <f t="shared" si="13"/>
        <v>24348.944700378881</v>
      </c>
      <c r="F75">
        <f t="shared" si="20"/>
        <v>24349</v>
      </c>
      <c r="G75" s="9">
        <f t="shared" si="14"/>
        <v>-1.9811530000879429E-2</v>
      </c>
      <c r="K75" s="9">
        <f t="shared" si="23"/>
        <v>-1.9811530000879429E-2</v>
      </c>
      <c r="O75" s="9">
        <f t="shared" ca="1" si="21"/>
        <v>-1.7312561715720279E-2</v>
      </c>
      <c r="P75" s="9">
        <f t="shared" si="15"/>
        <v>-1.4664341757379212E-2</v>
      </c>
      <c r="Q75" s="11">
        <f t="shared" si="16"/>
        <v>38493.298499999997</v>
      </c>
      <c r="R75">
        <f t="shared" si="17"/>
        <v>2.649354681402685E-5</v>
      </c>
      <c r="S75">
        <v>0.4</v>
      </c>
      <c r="T75">
        <f t="shared" si="18"/>
        <v>1.0597418725610741E-5</v>
      </c>
      <c r="X75" s="9">
        <f t="shared" si="22"/>
        <v>-5.147188243500217E-3</v>
      </c>
    </row>
    <row r="76" spans="1:24">
      <c r="A76" s="28" t="s">
        <v>49</v>
      </c>
      <c r="B76" s="74" t="s">
        <v>41</v>
      </c>
      <c r="C76" s="75">
        <v>53517.711300000003</v>
      </c>
      <c r="D76" s="75">
        <v>1.2999999999999999E-3</v>
      </c>
      <c r="E76" s="10">
        <f t="shared" si="13"/>
        <v>24365.449008712916</v>
      </c>
      <c r="F76">
        <f t="shared" si="20"/>
        <v>24365.5</v>
      </c>
      <c r="G76" s="9">
        <f t="shared" si="14"/>
        <v>-1.826803499716334E-2</v>
      </c>
      <c r="K76" s="9">
        <f t="shared" si="23"/>
        <v>-1.826803499716334E-2</v>
      </c>
      <c r="O76" s="9">
        <f t="shared" ca="1" si="21"/>
        <v>-1.7370278881791504E-2</v>
      </c>
      <c r="P76" s="9">
        <f t="shared" si="15"/>
        <v>-1.4712072320920248E-2</v>
      </c>
      <c r="Q76" s="11">
        <f t="shared" si="16"/>
        <v>38499.211300000003</v>
      </c>
      <c r="R76">
        <f t="shared" si="17"/>
        <v>1.2644870554833934E-5</v>
      </c>
      <c r="S76">
        <v>0.5</v>
      </c>
      <c r="T76">
        <f t="shared" si="18"/>
        <v>6.322435277416967E-6</v>
      </c>
      <c r="X76" s="9">
        <f t="shared" si="22"/>
        <v>-3.5559626762430921E-3</v>
      </c>
    </row>
    <row r="77" spans="1:24">
      <c r="A77" s="130" t="s">
        <v>38</v>
      </c>
      <c r="B77" s="131" t="s">
        <v>39</v>
      </c>
      <c r="C77" s="132">
        <v>53521.474999999999</v>
      </c>
      <c r="D77" s="132">
        <v>2E-3</v>
      </c>
      <c r="E77" s="10">
        <f t="shared" si="13"/>
        <v>24375.954567040051</v>
      </c>
      <c r="F77">
        <f t="shared" si="20"/>
        <v>24376</v>
      </c>
      <c r="G77" s="9">
        <f t="shared" si="14"/>
        <v>-1.6276720001769718E-2</v>
      </c>
      <c r="K77" s="9">
        <f t="shared" si="23"/>
        <v>-1.6276720001769718E-2</v>
      </c>
      <c r="O77" s="9">
        <f t="shared" ca="1" si="21"/>
        <v>-1.7407007987473189E-2</v>
      </c>
      <c r="P77" s="9">
        <f t="shared" si="15"/>
        <v>-1.474247534813012E-2</v>
      </c>
      <c r="Q77" s="11">
        <f t="shared" si="16"/>
        <v>38502.974999999999</v>
      </c>
      <c r="R77">
        <f t="shared" si="17"/>
        <v>2.3539066572216896E-6</v>
      </c>
      <c r="S77">
        <v>0.4</v>
      </c>
      <c r="T77">
        <f t="shared" si="18"/>
        <v>9.4156266288867594E-7</v>
      </c>
      <c r="X77" s="9">
        <f t="shared" si="22"/>
        <v>-1.5342446536395979E-3</v>
      </c>
    </row>
    <row r="78" spans="1:24">
      <c r="A78" s="140" t="s">
        <v>357</v>
      </c>
      <c r="B78" s="141" t="s">
        <v>41</v>
      </c>
      <c r="C78" s="142">
        <v>53858.241399999999</v>
      </c>
      <c r="D78" s="196" t="s">
        <v>181</v>
      </c>
      <c r="E78" s="10">
        <f t="shared" si="13"/>
        <v>25315.965475939021</v>
      </c>
      <c r="F78">
        <f t="shared" si="20"/>
        <v>25316</v>
      </c>
      <c r="G78" s="9">
        <f t="shared" si="14"/>
        <v>-1.2368520001473371E-2</v>
      </c>
      <c r="K78" s="9">
        <f t="shared" si="23"/>
        <v>-1.2368520001473371E-2</v>
      </c>
      <c r="O78" s="9">
        <f t="shared" ca="1" si="21"/>
        <v>-2.0695137448500628E-2</v>
      </c>
      <c r="P78" s="9">
        <f t="shared" si="15"/>
        <v>-1.755576725792788E-2</v>
      </c>
      <c r="Q78" s="11">
        <f t="shared" si="16"/>
        <v>38839.741399999999</v>
      </c>
      <c r="R78">
        <f t="shared" si="17"/>
        <v>2.6907534099594834E-5</v>
      </c>
      <c r="S78">
        <v>1</v>
      </c>
      <c r="T78">
        <f t="shared" si="18"/>
        <v>2.6907534099594834E-5</v>
      </c>
      <c r="X78" s="9">
        <f t="shared" si="22"/>
        <v>5.1872472564545094E-3</v>
      </c>
    </row>
    <row r="79" spans="1:24">
      <c r="A79" s="140" t="s">
        <v>357</v>
      </c>
      <c r="B79" s="141" t="s">
        <v>41</v>
      </c>
      <c r="C79" s="142">
        <v>53860.0311</v>
      </c>
      <c r="D79" s="196" t="s">
        <v>181</v>
      </c>
      <c r="E79" s="10">
        <f t="shared" si="13"/>
        <v>25320.961038215002</v>
      </c>
      <c r="F79">
        <f t="shared" si="20"/>
        <v>25321</v>
      </c>
      <c r="G79" s="9">
        <f t="shared" si="14"/>
        <v>-1.3958370000182185E-2</v>
      </c>
      <c r="K79" s="9">
        <f t="shared" si="23"/>
        <v>-1.3958370000182185E-2</v>
      </c>
      <c r="O79" s="9">
        <f t="shared" ca="1" si="21"/>
        <v>-2.0712627498825242E-2</v>
      </c>
      <c r="P79" s="9">
        <f t="shared" si="15"/>
        <v>-1.757121544708401E-2</v>
      </c>
      <c r="Q79" s="11">
        <f t="shared" si="16"/>
        <v>38841.5311</v>
      </c>
      <c r="R79">
        <f t="shared" si="17"/>
        <v>1.3052652223199245E-5</v>
      </c>
      <c r="S79">
        <v>1</v>
      </c>
      <c r="T79">
        <f t="shared" si="18"/>
        <v>1.3052652223199245E-5</v>
      </c>
      <c r="X79" s="9">
        <f t="shared" si="22"/>
        <v>3.6128454469018245E-3</v>
      </c>
    </row>
    <row r="80" spans="1:24">
      <c r="A80" s="61" t="s">
        <v>159</v>
      </c>
      <c r="B80" s="37"/>
      <c r="C80" s="118">
        <v>54164.364999999998</v>
      </c>
      <c r="D80" s="132">
        <v>5.0000000000000001E-4</v>
      </c>
      <c r="E80" s="10">
        <f t="shared" si="13"/>
        <v>26170.443605204364</v>
      </c>
      <c r="F80">
        <f t="shared" si="20"/>
        <v>26170.5</v>
      </c>
      <c r="G80" s="9">
        <f t="shared" si="14"/>
        <v>-2.0203885003866162E-2</v>
      </c>
      <c r="K80" s="9">
        <f t="shared" si="23"/>
        <v>-2.0203885003866162E-2</v>
      </c>
      <c r="O80" s="9">
        <f t="shared" ca="1" si="21"/>
        <v>-2.3684187048977165E-2</v>
      </c>
      <c r="P80" s="9">
        <f t="shared" si="15"/>
        <v>-2.0270199398002654E-2</v>
      </c>
      <c r="Q80" s="11">
        <f t="shared" si="16"/>
        <v>39145.864999999998</v>
      </c>
      <c r="R80">
        <f t="shared" si="17"/>
        <v>4.3975988696900247E-9</v>
      </c>
      <c r="S80">
        <v>1</v>
      </c>
      <c r="T80">
        <f t="shared" si="18"/>
        <v>4.3975988696900247E-9</v>
      </c>
      <c r="X80" s="9">
        <f t="shared" si="22"/>
        <v>6.631439413649215E-5</v>
      </c>
    </row>
    <row r="81" spans="1:24">
      <c r="A81" s="28" t="s">
        <v>160</v>
      </c>
      <c r="B81" s="74" t="s">
        <v>41</v>
      </c>
      <c r="C81" s="79">
        <v>54233.502</v>
      </c>
      <c r="D81" s="132">
        <v>1.5E-3</v>
      </c>
      <c r="E81" s="10">
        <f t="shared" si="13"/>
        <v>26363.424657377476</v>
      </c>
      <c r="F81">
        <f t="shared" si="20"/>
        <v>26363.5</v>
      </c>
      <c r="G81" s="9">
        <f t="shared" si="14"/>
        <v>-2.6992095001332927E-2</v>
      </c>
      <c r="K81" s="9">
        <f t="shared" si="23"/>
        <v>-2.6992095001332927E-2</v>
      </c>
      <c r="O81" s="9">
        <f t="shared" ca="1" si="21"/>
        <v>-2.4359302991507278E-2</v>
      </c>
      <c r="P81" s="9">
        <f t="shared" si="15"/>
        <v>-2.0903992652142607E-2</v>
      </c>
      <c r="Q81" s="11">
        <f t="shared" si="16"/>
        <v>39215.002</v>
      </c>
      <c r="R81">
        <f t="shared" si="17"/>
        <v>3.7064990214216697E-5</v>
      </c>
      <c r="S81">
        <v>0.5</v>
      </c>
      <c r="T81">
        <f t="shared" si="18"/>
        <v>1.8532495107108348E-5</v>
      </c>
      <c r="X81" s="9">
        <f t="shared" si="22"/>
        <v>-6.0881023491903205E-3</v>
      </c>
    </row>
    <row r="82" spans="1:24">
      <c r="A82" s="28" t="s">
        <v>160</v>
      </c>
      <c r="B82" s="74" t="s">
        <v>39</v>
      </c>
      <c r="C82" s="79">
        <v>54301.390500000001</v>
      </c>
      <c r="D82" s="132">
        <v>2E-3</v>
      </c>
      <c r="E82" s="10">
        <f t="shared" si="13"/>
        <v>26552.920790568875</v>
      </c>
      <c r="F82">
        <f t="shared" si="20"/>
        <v>26553</v>
      </c>
      <c r="G82" s="9">
        <f t="shared" si="14"/>
        <v>-2.8377410002576653E-2</v>
      </c>
      <c r="K82" s="9">
        <f t="shared" si="23"/>
        <v>-2.8377410002576653E-2</v>
      </c>
      <c r="O82" s="9">
        <f t="shared" ca="1" si="21"/>
        <v>-2.5022175898810145E-2</v>
      </c>
      <c r="P82" s="9">
        <f t="shared" si="15"/>
        <v>-2.1533715049918412E-2</v>
      </c>
      <c r="Q82" s="11">
        <f t="shared" si="16"/>
        <v>39282.890500000001</v>
      </c>
      <c r="R82">
        <f t="shared" si="17"/>
        <v>4.6836160605039891E-5</v>
      </c>
      <c r="S82">
        <v>0.4</v>
      </c>
      <c r="T82">
        <f t="shared" si="18"/>
        <v>1.8734464242015958E-5</v>
      </c>
      <c r="X82" s="9">
        <f t="shared" si="22"/>
        <v>-6.8436949526582413E-3</v>
      </c>
    </row>
    <row r="83" spans="1:24">
      <c r="A83" s="28" t="s">
        <v>160</v>
      </c>
      <c r="B83" s="74" t="s">
        <v>39</v>
      </c>
      <c r="C83" s="79">
        <v>54539.633500000004</v>
      </c>
      <c r="D83" s="75">
        <v>5.0000000000000001E-4</v>
      </c>
      <c r="E83" s="10">
        <f t="shared" si="13"/>
        <v>27217.924837792172</v>
      </c>
      <c r="F83">
        <f t="shared" si="20"/>
        <v>27218</v>
      </c>
      <c r="G83" s="9">
        <f t="shared" si="14"/>
        <v>-2.6927459999569692E-2</v>
      </c>
      <c r="K83" s="9">
        <f t="shared" si="23"/>
        <v>-2.6927459999569692E-2</v>
      </c>
      <c r="O83" s="9">
        <f t="shared" ca="1" si="21"/>
        <v>-2.7348352591983816E-2</v>
      </c>
      <c r="P83" s="9">
        <f t="shared" si="15"/>
        <v>-2.3801750518933927E-2</v>
      </c>
      <c r="Q83" s="11">
        <f t="shared" si="16"/>
        <v>39521.133500000004</v>
      </c>
      <c r="R83">
        <f t="shared" si="17"/>
        <v>9.7700597573363012E-6</v>
      </c>
      <c r="S83">
        <v>1</v>
      </c>
      <c r="T83">
        <f t="shared" si="18"/>
        <v>9.7700597573363012E-6</v>
      </c>
      <c r="X83" s="9">
        <f t="shared" si="22"/>
        <v>-3.1257094806357646E-3</v>
      </c>
    </row>
    <row r="84" spans="1:24">
      <c r="A84" s="140" t="s">
        <v>368</v>
      </c>
      <c r="B84" s="141" t="s">
        <v>41</v>
      </c>
      <c r="C84" s="142">
        <v>54571.160100000001</v>
      </c>
      <c r="D84" s="196" t="s">
        <v>181</v>
      </c>
      <c r="E84" s="10">
        <f t="shared" si="13"/>
        <v>27305.924554867546</v>
      </c>
      <c r="F84">
        <f t="shared" si="20"/>
        <v>27306</v>
      </c>
      <c r="G84" s="9">
        <f t="shared" si="14"/>
        <v>-2.702881999721285E-2</v>
      </c>
      <c r="K84" s="9">
        <f t="shared" si="23"/>
        <v>-2.702881999721285E-2</v>
      </c>
      <c r="O84" s="9">
        <f t="shared" ca="1" si="21"/>
        <v>-2.7656177477697025E-2</v>
      </c>
      <c r="P84" s="9">
        <f t="shared" si="15"/>
        <v>-2.4108667389521068E-2</v>
      </c>
      <c r="Q84" s="11">
        <f t="shared" si="16"/>
        <v>39552.660100000001</v>
      </c>
      <c r="R84">
        <f t="shared" si="17"/>
        <v>8.5272912522091092E-6</v>
      </c>
      <c r="S84">
        <v>1</v>
      </c>
      <c r="T84">
        <f t="shared" si="18"/>
        <v>8.5272912522091092E-6</v>
      </c>
      <c r="X84" s="9">
        <f t="shared" si="22"/>
        <v>-2.9201526076917811E-3</v>
      </c>
    </row>
    <row r="85" spans="1:24">
      <c r="A85" s="28" t="s">
        <v>160</v>
      </c>
      <c r="B85" s="74" t="s">
        <v>41</v>
      </c>
      <c r="C85" s="79">
        <v>54644.423999999999</v>
      </c>
      <c r="D85" s="75">
        <v>1E-3</v>
      </c>
      <c r="E85" s="10">
        <f t="shared" ref="E85:E119" si="24">+(C85-C$7)/C$8</f>
        <v>27510.42495998065</v>
      </c>
      <c r="F85">
        <f t="shared" si="20"/>
        <v>27510.5</v>
      </c>
      <c r="G85" s="9">
        <f t="shared" ref="G85:G116" si="25">+C85-(C$7+F85*C$8)</f>
        <v>-2.6883685000939295E-2</v>
      </c>
      <c r="K85" s="9">
        <f t="shared" si="23"/>
        <v>-2.6883685000939295E-2</v>
      </c>
      <c r="O85" s="9">
        <f t="shared" ca="1" si="21"/>
        <v>-2.8371520535973735E-2</v>
      </c>
      <c r="P85" s="9">
        <f t="shared" ref="P85:P119" si="26">+D$11+D$12*F85+D$13*F85^2</f>
        <v>-2.4828025914415922E-2</v>
      </c>
      <c r="Q85" s="11">
        <f t="shared" ref="Q85:Q119" si="27">+C85-15018.5</f>
        <v>39625.923999999999</v>
      </c>
      <c r="R85">
        <f t="shared" ref="R85:R119" si="28">+(P85-G85)^2</f>
        <v>4.2257342800061087E-6</v>
      </c>
      <c r="S85">
        <v>0.5</v>
      </c>
      <c r="T85">
        <f t="shared" ref="T85:T116" si="29">S85*R85</f>
        <v>2.1128671400030543E-6</v>
      </c>
      <c r="X85" s="9">
        <f t="shared" si="22"/>
        <v>-2.0556590865233731E-3</v>
      </c>
    </row>
    <row r="86" spans="1:24">
      <c r="A86" s="28" t="s">
        <v>160</v>
      </c>
      <c r="B86" s="74" t="s">
        <v>39</v>
      </c>
      <c r="C86" s="79">
        <v>54646.394999999997</v>
      </c>
      <c r="D86" s="75">
        <v>2.9999999999999997E-4</v>
      </c>
      <c r="E86" s="10">
        <f t="shared" si="24"/>
        <v>27515.926582177632</v>
      </c>
      <c r="F86">
        <f t="shared" si="20"/>
        <v>27516</v>
      </c>
      <c r="G86" s="9">
        <f t="shared" si="25"/>
        <v>-2.6302520003810059E-2</v>
      </c>
      <c r="K86" s="9">
        <f t="shared" si="23"/>
        <v>-2.6302520003810059E-2</v>
      </c>
      <c r="O86" s="9">
        <f t="shared" ca="1" si="21"/>
        <v>-2.8390759591330805E-2</v>
      </c>
      <c r="P86" s="9">
        <f t="shared" si="26"/>
        <v>-2.484749124466009E-2</v>
      </c>
      <c r="Q86" s="11">
        <f t="shared" si="27"/>
        <v>39627.894999999997</v>
      </c>
      <c r="R86">
        <f t="shared" si="28"/>
        <v>2.1171086899534987E-6</v>
      </c>
      <c r="S86">
        <v>1</v>
      </c>
      <c r="T86">
        <f t="shared" si="29"/>
        <v>2.1171086899534987E-6</v>
      </c>
      <c r="X86" s="9">
        <f t="shared" si="22"/>
        <v>-1.4550287591499692E-3</v>
      </c>
    </row>
    <row r="87" spans="1:24">
      <c r="A87" s="28" t="s">
        <v>160</v>
      </c>
      <c r="B87" s="74" t="s">
        <v>39</v>
      </c>
      <c r="C87" s="79">
        <v>54656.426500000001</v>
      </c>
      <c r="D87" s="75">
        <v>1.5E-3</v>
      </c>
      <c r="E87" s="10">
        <f t="shared" si="24"/>
        <v>27543.927354916908</v>
      </c>
      <c r="F87">
        <f t="shared" si="20"/>
        <v>27544</v>
      </c>
      <c r="G87" s="9">
        <f t="shared" si="25"/>
        <v>-2.6025679995655082E-2</v>
      </c>
      <c r="K87" s="9">
        <f t="shared" si="23"/>
        <v>-2.6025679995655082E-2</v>
      </c>
      <c r="O87" s="9">
        <f t="shared" ca="1" si="21"/>
        <v>-2.8488703873148655E-2</v>
      </c>
      <c r="P87" s="9">
        <f t="shared" si="26"/>
        <v>-2.4946683528609917E-2</v>
      </c>
      <c r="Q87" s="11">
        <f t="shared" si="27"/>
        <v>39637.926500000001</v>
      </c>
      <c r="R87">
        <f t="shared" si="28"/>
        <v>1.1642333758959481E-6</v>
      </c>
      <c r="S87">
        <v>0.5</v>
      </c>
      <c r="T87">
        <f t="shared" si="29"/>
        <v>5.8211668794797405E-7</v>
      </c>
      <c r="X87" s="9">
        <f t="shared" si="22"/>
        <v>-1.0789964670451652E-3</v>
      </c>
    </row>
    <row r="88" spans="1:24">
      <c r="A88" s="28" t="s">
        <v>161</v>
      </c>
      <c r="B88" s="74" t="s">
        <v>41</v>
      </c>
      <c r="C88" s="79">
        <v>54667.352200000001</v>
      </c>
      <c r="D88" s="79">
        <v>1E-4</v>
      </c>
      <c r="E88" s="10">
        <f t="shared" si="24"/>
        <v>27574.424094459086</v>
      </c>
      <c r="F88">
        <f t="shared" si="20"/>
        <v>27574.5</v>
      </c>
      <c r="G88" s="9">
        <f t="shared" si="25"/>
        <v>-2.719376500317594E-2</v>
      </c>
      <c r="K88" s="9">
        <f t="shared" si="23"/>
        <v>-2.719376500317594E-2</v>
      </c>
      <c r="O88" s="9">
        <f t="shared" ca="1" si="21"/>
        <v>-2.8595393180128797E-2</v>
      </c>
      <c r="P88" s="9">
        <f t="shared" si="26"/>
        <v>-2.5054914985196297E-2</v>
      </c>
      <c r="Q88" s="11">
        <f t="shared" si="27"/>
        <v>39648.852200000001</v>
      </c>
      <c r="R88">
        <f t="shared" si="28"/>
        <v>4.5746793994115199E-6</v>
      </c>
      <c r="S88">
        <v>1</v>
      </c>
      <c r="T88">
        <f t="shared" si="29"/>
        <v>4.5746793994115199E-6</v>
      </c>
      <c r="X88" s="9">
        <f t="shared" si="22"/>
        <v>-2.1388500179796432E-3</v>
      </c>
    </row>
    <row r="89" spans="1:24">
      <c r="A89" s="28" t="s">
        <v>182</v>
      </c>
      <c r="B89" s="74" t="s">
        <v>39</v>
      </c>
      <c r="C89" s="75">
        <v>54667.352200000001</v>
      </c>
      <c r="D89" s="75">
        <v>1E-4</v>
      </c>
      <c r="E89" s="10">
        <f t="shared" si="24"/>
        <v>27574.424094459086</v>
      </c>
      <c r="F89">
        <f t="shared" si="20"/>
        <v>27574.5</v>
      </c>
      <c r="G89" s="9">
        <f t="shared" si="25"/>
        <v>-2.719376500317594E-2</v>
      </c>
      <c r="K89" s="9">
        <f t="shared" si="23"/>
        <v>-2.719376500317594E-2</v>
      </c>
      <c r="O89" s="9">
        <f t="shared" ca="1" si="21"/>
        <v>-2.8595393180128797E-2</v>
      </c>
      <c r="P89" s="9">
        <f t="shared" si="26"/>
        <v>-2.5054914985196297E-2</v>
      </c>
      <c r="Q89" s="11">
        <f t="shared" si="27"/>
        <v>39648.852200000001</v>
      </c>
      <c r="R89">
        <f t="shared" si="28"/>
        <v>4.5746793994115199E-6</v>
      </c>
      <c r="S89">
        <v>1</v>
      </c>
      <c r="T89">
        <f t="shared" si="29"/>
        <v>4.5746793994115199E-6</v>
      </c>
      <c r="X89" s="9"/>
    </row>
    <row r="90" spans="1:24">
      <c r="A90" s="123" t="s">
        <v>125</v>
      </c>
      <c r="B90" s="124" t="s">
        <v>41</v>
      </c>
      <c r="C90" s="123">
        <v>54667.3531</v>
      </c>
      <c r="D90" s="123">
        <v>6.9999999999999999E-4</v>
      </c>
      <c r="E90" s="10">
        <f t="shared" si="24"/>
        <v>27574.42660661534</v>
      </c>
      <c r="F90">
        <f t="shared" si="20"/>
        <v>27574.5</v>
      </c>
      <c r="G90" s="9">
        <f t="shared" si="25"/>
        <v>-2.629376500408398E-2</v>
      </c>
      <c r="K90" s="9">
        <f t="shared" si="23"/>
        <v>-2.629376500408398E-2</v>
      </c>
      <c r="O90" s="9">
        <f t="shared" ca="1" si="21"/>
        <v>-2.8595393180128797E-2</v>
      </c>
      <c r="P90" s="9">
        <f t="shared" si="26"/>
        <v>-2.5054914985196297E-2</v>
      </c>
      <c r="Q90" s="11">
        <f t="shared" si="27"/>
        <v>39648.8531</v>
      </c>
      <c r="R90">
        <f t="shared" si="28"/>
        <v>1.534749369298012E-6</v>
      </c>
      <c r="S90">
        <v>1</v>
      </c>
      <c r="T90">
        <f t="shared" si="29"/>
        <v>1.534749369298012E-6</v>
      </c>
      <c r="X90" s="9"/>
    </row>
    <row r="91" spans="1:24">
      <c r="A91" s="28" t="s">
        <v>160</v>
      </c>
      <c r="B91" s="74" t="s">
        <v>39</v>
      </c>
      <c r="C91" s="79">
        <v>54894.668599999997</v>
      </c>
      <c r="D91" s="79"/>
      <c r="E91" s="10">
        <f t="shared" si="24"/>
        <v>28208.92888998393</v>
      </c>
      <c r="F91">
        <f t="shared" si="20"/>
        <v>28209</v>
      </c>
      <c r="G91" s="9">
        <f t="shared" si="25"/>
        <v>-2.5475730006291997E-2</v>
      </c>
      <c r="K91" s="9">
        <f t="shared" si="23"/>
        <v>-2.5475730006291997E-2</v>
      </c>
      <c r="O91" s="9">
        <f t="shared" ca="1" si="21"/>
        <v>-3.0814880566322311E-2</v>
      </c>
      <c r="P91" s="9">
        <f t="shared" si="26"/>
        <v>-2.7349693773916717E-2</v>
      </c>
      <c r="Q91" s="11">
        <f t="shared" si="27"/>
        <v>39876.168599999997</v>
      </c>
      <c r="R91">
        <f t="shared" si="28"/>
        <v>3.5117402023702357E-6</v>
      </c>
      <c r="S91">
        <v>1</v>
      </c>
      <c r="T91">
        <f t="shared" si="29"/>
        <v>3.5117402023702357E-6</v>
      </c>
      <c r="X91" s="9"/>
    </row>
    <row r="92" spans="1:24">
      <c r="A92" s="140" t="s">
        <v>384</v>
      </c>
      <c r="B92" s="141" t="s">
        <v>39</v>
      </c>
      <c r="C92" s="142">
        <v>54920.283100000001</v>
      </c>
      <c r="D92" s="196" t="s">
        <v>181</v>
      </c>
      <c r="E92" s="10">
        <f t="shared" si="24"/>
        <v>28280.426252624609</v>
      </c>
      <c r="F92">
        <f t="shared" si="20"/>
        <v>28280.5</v>
      </c>
      <c r="G92" s="9">
        <f t="shared" si="25"/>
        <v>-2.64205849962309E-2</v>
      </c>
      <c r="K92" s="9">
        <f t="shared" si="23"/>
        <v>-2.64205849962309E-2</v>
      </c>
      <c r="O92" s="9">
        <f t="shared" ca="1" si="21"/>
        <v>-3.1064988285964296E-2</v>
      </c>
      <c r="P92" s="9">
        <f t="shared" si="26"/>
        <v>-2.7613455242827864E-2</v>
      </c>
      <c r="Q92" s="11">
        <f t="shared" si="27"/>
        <v>39901.783100000001</v>
      </c>
      <c r="R92">
        <f t="shared" si="28"/>
        <v>1.422939425216301E-6</v>
      </c>
      <c r="S92">
        <v>1</v>
      </c>
      <c r="T92">
        <f t="shared" si="29"/>
        <v>1.422939425216301E-6</v>
      </c>
      <c r="X92" s="9"/>
    </row>
    <row r="93" spans="1:24">
      <c r="A93" s="140" t="s">
        <v>384</v>
      </c>
      <c r="B93" s="141" t="s">
        <v>39</v>
      </c>
      <c r="C93" s="142">
        <v>54951.092799999999</v>
      </c>
      <c r="D93" s="196" t="s">
        <v>181</v>
      </c>
      <c r="E93" s="10">
        <f t="shared" si="24"/>
        <v>28366.424897679171</v>
      </c>
      <c r="F93">
        <f t="shared" si="20"/>
        <v>28366.5</v>
      </c>
      <c r="G93" s="9">
        <f t="shared" si="25"/>
        <v>-2.6906005005002953E-2</v>
      </c>
      <c r="K93" s="9">
        <f t="shared" si="23"/>
        <v>-2.6906005005002953E-2</v>
      </c>
      <c r="O93" s="9">
        <f t="shared" ca="1" si="21"/>
        <v>-3.1365817151547654E-2</v>
      </c>
      <c r="P93" s="9">
        <f t="shared" si="26"/>
        <v>-2.7932093895235932E-2</v>
      </c>
      <c r="Q93" s="11">
        <f t="shared" si="27"/>
        <v>39932.592799999999</v>
      </c>
      <c r="R93">
        <f t="shared" si="28"/>
        <v>1.0528584106595465E-6</v>
      </c>
      <c r="S93">
        <v>1</v>
      </c>
      <c r="T93">
        <f t="shared" si="29"/>
        <v>1.0528584106595465E-6</v>
      </c>
      <c r="X93" s="9"/>
    </row>
    <row r="94" spans="1:24">
      <c r="A94" s="28" t="s">
        <v>160</v>
      </c>
      <c r="B94" s="74" t="s">
        <v>41</v>
      </c>
      <c r="C94" s="79">
        <v>54971.514000000003</v>
      </c>
      <c r="D94" s="79"/>
      <c r="E94" s="10">
        <f t="shared" si="24"/>
        <v>28423.426281346936</v>
      </c>
      <c r="F94">
        <f t="shared" si="20"/>
        <v>28423.5</v>
      </c>
      <c r="G94" s="9">
        <f t="shared" si="25"/>
        <v>-2.6410294995002914E-2</v>
      </c>
      <c r="K94" s="9">
        <f t="shared" si="23"/>
        <v>-2.6410294995002914E-2</v>
      </c>
      <c r="O94" s="9">
        <f t="shared" ca="1" si="21"/>
        <v>-3.1565203725248264E-2</v>
      </c>
      <c r="P94" s="9">
        <f t="shared" si="26"/>
        <v>-2.8144119344964018E-2</v>
      </c>
      <c r="Q94" s="11">
        <f t="shared" si="27"/>
        <v>39953.014000000003</v>
      </c>
      <c r="R94">
        <f t="shared" si="28"/>
        <v>3.0061468765180433E-6</v>
      </c>
      <c r="S94">
        <v>1</v>
      </c>
      <c r="T94">
        <f t="shared" si="29"/>
        <v>3.0061468765180433E-6</v>
      </c>
      <c r="X94" s="9"/>
    </row>
    <row r="95" spans="1:24">
      <c r="A95" s="140" t="s">
        <v>393</v>
      </c>
      <c r="B95" s="141" t="s">
        <v>41</v>
      </c>
      <c r="C95" s="142">
        <v>55318.118300000002</v>
      </c>
      <c r="D95" s="196" t="s">
        <v>181</v>
      </c>
      <c r="E95" s="10">
        <f t="shared" si="24"/>
        <v>29390.897570262012</v>
      </c>
      <c r="F95">
        <f t="shared" si="20"/>
        <v>29391</v>
      </c>
      <c r="G95" s="9">
        <f t="shared" si="25"/>
        <v>-3.6696269999083597E-2</v>
      </c>
      <c r="K95" s="9">
        <f t="shared" si="23"/>
        <v>-3.6696269999083597E-2</v>
      </c>
      <c r="O95" s="9">
        <f t="shared" ca="1" si="21"/>
        <v>-3.4949528463061083E-2</v>
      </c>
      <c r="P95" s="9">
        <f t="shared" si="26"/>
        <v>-3.1844478032761782E-2</v>
      </c>
      <c r="Q95" s="11">
        <f t="shared" si="27"/>
        <v>40299.618300000002</v>
      </c>
      <c r="R95">
        <f t="shared" si="28"/>
        <v>2.3539885284464906E-5</v>
      </c>
      <c r="S95">
        <v>1</v>
      </c>
      <c r="T95">
        <f t="shared" si="29"/>
        <v>2.3539885284464906E-5</v>
      </c>
      <c r="X95" s="9"/>
    </row>
    <row r="96" spans="1:24">
      <c r="A96" s="140" t="s">
        <v>393</v>
      </c>
      <c r="B96" s="141" t="s">
        <v>41</v>
      </c>
      <c r="C96" s="142">
        <v>55350.003599999996</v>
      </c>
      <c r="D96" s="196" t="s">
        <v>181</v>
      </c>
      <c r="E96" s="10">
        <f t="shared" si="24"/>
        <v>29479.898521168965</v>
      </c>
      <c r="F96">
        <f t="shared" si="20"/>
        <v>29480</v>
      </c>
      <c r="G96" s="9">
        <f t="shared" si="25"/>
        <v>-3.6355600008391775E-2</v>
      </c>
      <c r="K96" s="9">
        <f t="shared" si="23"/>
        <v>-3.6355600008391775E-2</v>
      </c>
      <c r="O96" s="9">
        <f t="shared" ca="1" si="21"/>
        <v>-3.5260851358839204E-2</v>
      </c>
      <c r="P96" s="9">
        <f t="shared" si="26"/>
        <v>-3.2194501910535439E-2</v>
      </c>
      <c r="Q96" s="11">
        <f t="shared" si="27"/>
        <v>40331.503599999996</v>
      </c>
      <c r="R96">
        <f t="shared" si="28"/>
        <v>1.7314737379983618E-5</v>
      </c>
      <c r="S96">
        <v>1</v>
      </c>
      <c r="T96">
        <f t="shared" si="29"/>
        <v>1.7314737379983618E-5</v>
      </c>
      <c r="X96" s="9"/>
    </row>
    <row r="97" spans="1:24">
      <c r="A97" s="123" t="s">
        <v>180</v>
      </c>
      <c r="B97" s="124" t="s">
        <v>41</v>
      </c>
      <c r="C97" s="123">
        <v>55652.909099999997</v>
      </c>
      <c r="D97" s="123">
        <v>5.9999999999999995E-4</v>
      </c>
      <c r="E97" s="10">
        <f t="shared" si="24"/>
        <v>30325.394017054237</v>
      </c>
      <c r="F97">
        <f t="shared" si="20"/>
        <v>30325.5</v>
      </c>
      <c r="G97" s="9">
        <f t="shared" si="25"/>
        <v>-3.7969235003401991E-2</v>
      </c>
      <c r="K97" s="9">
        <f t="shared" si="23"/>
        <v>-3.7969235003401991E-2</v>
      </c>
      <c r="O97" s="9">
        <f t="shared" ca="1" si="21"/>
        <v>-3.8218418868731438E-2</v>
      </c>
      <c r="P97" s="9">
        <f t="shared" si="26"/>
        <v>-3.5600642109854676E-2</v>
      </c>
      <c r="Q97" s="11">
        <f t="shared" si="27"/>
        <v>40634.409099999997</v>
      </c>
      <c r="R97">
        <f t="shared" si="28"/>
        <v>5.6102322953628435E-6</v>
      </c>
      <c r="S97">
        <v>1</v>
      </c>
      <c r="T97">
        <f t="shared" si="29"/>
        <v>5.6102322953628435E-6</v>
      </c>
      <c r="X97" s="9"/>
    </row>
    <row r="98" spans="1:24">
      <c r="A98" s="140" t="s">
        <v>408</v>
      </c>
      <c r="B98" s="141" t="s">
        <v>39</v>
      </c>
      <c r="C98" s="142">
        <v>56016.900699999998</v>
      </c>
      <c r="D98" s="142" t="s">
        <v>213</v>
      </c>
      <c r="E98" s="10">
        <f t="shared" si="24"/>
        <v>31341.398210903717</v>
      </c>
      <c r="F98">
        <f t="shared" ref="F98:F124" si="30">ROUND(2*E98,0)/2</f>
        <v>31341.5</v>
      </c>
      <c r="G98" s="9">
        <f t="shared" si="25"/>
        <v>-3.6466755002038553E-2</v>
      </c>
      <c r="K98" s="9">
        <f t="shared" si="23"/>
        <v>-3.6466755002038553E-2</v>
      </c>
      <c r="O98" s="9">
        <f t="shared" ref="O98:O119" ca="1" si="31">+C$11+C$12*F98</f>
        <v>-4.177239709469302E-2</v>
      </c>
      <c r="P98" s="9">
        <f t="shared" si="26"/>
        <v>-3.9887330005665654E-2</v>
      </c>
      <c r="Q98" s="11">
        <f t="shared" si="27"/>
        <v>40998.400699999998</v>
      </c>
      <c r="R98">
        <f t="shared" si="28"/>
        <v>1.1700333355438541E-5</v>
      </c>
      <c r="S98">
        <v>1</v>
      </c>
      <c r="T98">
        <f t="shared" si="29"/>
        <v>1.1700333355438541E-5</v>
      </c>
      <c r="X98" s="9"/>
    </row>
    <row r="99" spans="1:24">
      <c r="A99" s="140" t="s">
        <v>413</v>
      </c>
      <c r="B99" s="141" t="s">
        <v>39</v>
      </c>
      <c r="C99" s="142">
        <v>56053.082900000001</v>
      </c>
      <c r="D99" s="197" t="s">
        <v>181</v>
      </c>
      <c r="E99" s="10">
        <f t="shared" si="24"/>
        <v>31442.393033154294</v>
      </c>
      <c r="F99">
        <f t="shared" si="30"/>
        <v>31442.5</v>
      </c>
      <c r="G99" s="9">
        <f t="shared" si="25"/>
        <v>-3.8321724998240825E-2</v>
      </c>
      <c r="K99" s="9">
        <f t="shared" si="23"/>
        <v>-3.8321724998240825E-2</v>
      </c>
      <c r="O99" s="9">
        <f t="shared" ca="1" si="31"/>
        <v>-4.2125696111250222E-2</v>
      </c>
      <c r="P99" s="9">
        <f t="shared" si="26"/>
        <v>-4.0325020475373112E-2</v>
      </c>
      <c r="Q99" s="11">
        <f t="shared" si="27"/>
        <v>41034.582900000001</v>
      </c>
      <c r="R99">
        <f t="shared" si="28"/>
        <v>4.0131927686986785E-6</v>
      </c>
      <c r="S99">
        <v>1</v>
      </c>
      <c r="T99">
        <f t="shared" si="29"/>
        <v>4.0131927686986785E-6</v>
      </c>
      <c r="X99" s="9"/>
    </row>
    <row r="100" spans="1:24">
      <c r="A100" s="144" t="s">
        <v>192</v>
      </c>
      <c r="B100" s="145" t="s">
        <v>41</v>
      </c>
      <c r="C100" s="146">
        <v>56067.413800000002</v>
      </c>
      <c r="D100" s="146">
        <v>2.9999999999999997E-4</v>
      </c>
      <c r="E100" s="10">
        <f t="shared" si="24"/>
        <v>31482.394655448981</v>
      </c>
      <c r="F100">
        <f t="shared" si="30"/>
        <v>31482.5</v>
      </c>
      <c r="G100" s="9">
        <f t="shared" si="25"/>
        <v>-3.7740524996479508E-2</v>
      </c>
      <c r="K100" s="9">
        <f t="shared" si="23"/>
        <v>-3.7740524996479508E-2</v>
      </c>
      <c r="O100" s="9">
        <f t="shared" ca="1" si="31"/>
        <v>-4.2265616513847137E-2</v>
      </c>
      <c r="P100" s="9">
        <f t="shared" si="26"/>
        <v>-4.0498940808044108E-2</v>
      </c>
      <c r="Q100" s="11">
        <f t="shared" si="27"/>
        <v>41048.913800000002</v>
      </c>
      <c r="R100">
        <f t="shared" si="28"/>
        <v>7.6088577894895929E-6</v>
      </c>
      <c r="S100">
        <v>1</v>
      </c>
      <c r="T100">
        <f t="shared" si="29"/>
        <v>7.6088577894895929E-6</v>
      </c>
      <c r="X100" s="9"/>
    </row>
    <row r="101" spans="1:24">
      <c r="A101" s="144" t="s">
        <v>192</v>
      </c>
      <c r="B101" s="145" t="s">
        <v>41</v>
      </c>
      <c r="C101" s="146">
        <v>56067.413860000001</v>
      </c>
      <c r="D101" s="146">
        <v>2.0000000000000001E-4</v>
      </c>
      <c r="E101" s="10">
        <f t="shared" si="24"/>
        <v>31482.39482292606</v>
      </c>
      <c r="F101">
        <f t="shared" si="30"/>
        <v>31482.5</v>
      </c>
      <c r="G101" s="9">
        <f t="shared" si="25"/>
        <v>-3.7680524997995235E-2</v>
      </c>
      <c r="K101" s="9">
        <f t="shared" si="23"/>
        <v>-3.7680524997995235E-2</v>
      </c>
      <c r="O101" s="9">
        <f t="shared" ca="1" si="31"/>
        <v>-4.2265616513847137E-2</v>
      </c>
      <c r="P101" s="9">
        <f t="shared" si="26"/>
        <v>-4.0498940808044108E-2</v>
      </c>
      <c r="Q101" s="11">
        <f t="shared" si="27"/>
        <v>41048.913860000001</v>
      </c>
      <c r="R101">
        <f t="shared" si="28"/>
        <v>7.9434676783334448E-6</v>
      </c>
      <c r="S101">
        <v>1</v>
      </c>
      <c r="T101">
        <f t="shared" si="29"/>
        <v>7.9434676783334448E-6</v>
      </c>
      <c r="X101" s="9"/>
    </row>
    <row r="102" spans="1:24">
      <c r="A102" s="144" t="s">
        <v>192</v>
      </c>
      <c r="B102" s="145" t="s">
        <v>41</v>
      </c>
      <c r="C102" s="146">
        <v>56067.414049999999</v>
      </c>
      <c r="D102" s="146">
        <v>2.9999999999999997E-4</v>
      </c>
      <c r="E102" s="10">
        <f t="shared" si="24"/>
        <v>31482.395353270156</v>
      </c>
      <c r="F102">
        <f t="shared" si="30"/>
        <v>31482.5</v>
      </c>
      <c r="G102" s="9">
        <f t="shared" si="25"/>
        <v>-3.749052499915706E-2</v>
      </c>
      <c r="K102" s="9">
        <f t="shared" si="23"/>
        <v>-3.749052499915706E-2</v>
      </c>
      <c r="O102" s="9">
        <f t="shared" ca="1" si="31"/>
        <v>-4.2265616513847137E-2</v>
      </c>
      <c r="P102" s="9">
        <f t="shared" si="26"/>
        <v>-4.0498940808044108E-2</v>
      </c>
      <c r="Q102" s="11">
        <f t="shared" si="27"/>
        <v>41048.914049999999</v>
      </c>
      <c r="R102">
        <f t="shared" si="28"/>
        <v>9.0505656791615122E-6</v>
      </c>
      <c r="S102">
        <v>1</v>
      </c>
      <c r="T102">
        <f t="shared" si="29"/>
        <v>9.0505656791615122E-6</v>
      </c>
      <c r="X102" s="9"/>
    </row>
    <row r="103" spans="1:24">
      <c r="A103" s="144" t="s">
        <v>192</v>
      </c>
      <c r="B103" s="145" t="s">
        <v>41</v>
      </c>
      <c r="C103" s="146">
        <v>56067.414640000003</v>
      </c>
      <c r="D103" s="146">
        <v>2.0000000000000001E-4</v>
      </c>
      <c r="E103" s="10">
        <f t="shared" si="24"/>
        <v>31482.397000128152</v>
      </c>
      <c r="F103">
        <f t="shared" si="30"/>
        <v>31482.5</v>
      </c>
      <c r="G103" s="9">
        <f t="shared" si="25"/>
        <v>-3.690052499587182E-2</v>
      </c>
      <c r="K103" s="9">
        <f t="shared" si="23"/>
        <v>-3.690052499587182E-2</v>
      </c>
      <c r="O103" s="9">
        <f t="shared" ca="1" si="31"/>
        <v>-4.2265616513847137E-2</v>
      </c>
      <c r="P103" s="9">
        <f t="shared" si="26"/>
        <v>-4.0498940808044108E-2</v>
      </c>
      <c r="Q103" s="11">
        <f t="shared" si="27"/>
        <v>41048.914640000003</v>
      </c>
      <c r="R103">
        <f t="shared" si="28"/>
        <v>1.2948596357291551E-5</v>
      </c>
      <c r="S103">
        <v>1</v>
      </c>
      <c r="T103">
        <f t="shared" si="29"/>
        <v>1.2948596357291551E-5</v>
      </c>
      <c r="X103" s="9"/>
    </row>
    <row r="104" spans="1:24">
      <c r="A104" s="140" t="s">
        <v>408</v>
      </c>
      <c r="B104" s="141" t="s">
        <v>41</v>
      </c>
      <c r="C104" s="142">
        <v>56093.743999999999</v>
      </c>
      <c r="D104" s="142" t="s">
        <v>213</v>
      </c>
      <c r="E104" s="10">
        <f t="shared" si="24"/>
        <v>31555.889740568782</v>
      </c>
      <c r="F104">
        <f t="shared" si="30"/>
        <v>31556</v>
      </c>
      <c r="G104" s="9">
        <f t="shared" si="25"/>
        <v>-3.9501320003182627E-2</v>
      </c>
      <c r="K104" s="9">
        <f t="shared" si="23"/>
        <v>-3.9501320003182627E-2</v>
      </c>
      <c r="O104" s="9">
        <f t="shared" ca="1" si="31"/>
        <v>-4.2522720253618959E-2</v>
      </c>
      <c r="P104" s="9">
        <f t="shared" si="26"/>
        <v>-4.0819373719553569E-2</v>
      </c>
      <c r="Q104" s="11">
        <f t="shared" si="27"/>
        <v>41075.243999999999</v>
      </c>
      <c r="R104">
        <f t="shared" si="28"/>
        <v>1.7372655992392499E-6</v>
      </c>
      <c r="S104">
        <v>1</v>
      </c>
      <c r="T104">
        <f t="shared" si="29"/>
        <v>1.7372655992392499E-6</v>
      </c>
      <c r="X104" s="9"/>
    </row>
    <row r="105" spans="1:24">
      <c r="A105" s="202" t="s">
        <v>2</v>
      </c>
      <c r="B105" s="203" t="s">
        <v>41</v>
      </c>
      <c r="C105" s="202">
        <v>56781.051099999808</v>
      </c>
      <c r="D105" s="202" t="s">
        <v>366</v>
      </c>
      <c r="E105" s="10">
        <f t="shared" si="24"/>
        <v>33474.359551581801</v>
      </c>
      <c r="F105">
        <f t="shared" si="30"/>
        <v>33474.5</v>
      </c>
      <c r="G105" s="9">
        <f t="shared" si="25"/>
        <v>-5.0316765191382729E-2</v>
      </c>
      <c r="K105" s="9">
        <f t="shared" si="23"/>
        <v>-5.0316765191382729E-2</v>
      </c>
      <c r="O105" s="9">
        <f t="shared" ca="1" si="31"/>
        <v>-4.9233652563173372E-2</v>
      </c>
      <c r="P105" s="9">
        <f t="shared" si="26"/>
        <v>-4.9574688477815543E-2</v>
      </c>
      <c r="Q105" s="11">
        <f t="shared" si="27"/>
        <v>41762.551099999808</v>
      </c>
      <c r="R105">
        <f t="shared" si="28"/>
        <v>5.5067784881867501E-7</v>
      </c>
      <c r="S105">
        <v>3</v>
      </c>
      <c r="T105">
        <f t="shared" si="29"/>
        <v>1.6520335464560251E-6</v>
      </c>
      <c r="X105" s="9"/>
    </row>
    <row r="106" spans="1:24">
      <c r="A106" s="202" t="s">
        <v>2</v>
      </c>
      <c r="B106" s="203" t="s">
        <v>41</v>
      </c>
      <c r="C106" s="202">
        <v>56788.217199999839</v>
      </c>
      <c r="D106" s="202" t="s">
        <v>121</v>
      </c>
      <c r="E106" s="10">
        <f t="shared" si="24"/>
        <v>33494.362177064308</v>
      </c>
      <c r="F106">
        <f t="shared" si="30"/>
        <v>33494.5</v>
      </c>
      <c r="G106" s="9">
        <f t="shared" si="25"/>
        <v>-4.9376165159628727E-2</v>
      </c>
      <c r="K106" s="9">
        <f t="shared" si="23"/>
        <v>-4.9376165159628727E-2</v>
      </c>
      <c r="O106" s="9">
        <f t="shared" ca="1" si="31"/>
        <v>-4.930361276447183E-2</v>
      </c>
      <c r="P106" s="9">
        <f t="shared" si="26"/>
        <v>-4.9669931278011004E-2</v>
      </c>
      <c r="Q106" s="11">
        <f t="shared" si="27"/>
        <v>41769.717199999839</v>
      </c>
      <c r="R106">
        <f t="shared" si="28"/>
        <v>8.6298532309390027E-8</v>
      </c>
      <c r="S106">
        <v>4</v>
      </c>
      <c r="T106">
        <f t="shared" si="29"/>
        <v>3.4519412923756011E-7</v>
      </c>
      <c r="X106" s="9"/>
    </row>
    <row r="107" spans="1:24">
      <c r="A107" s="200" t="s">
        <v>439</v>
      </c>
      <c r="B107" s="201" t="s">
        <v>41</v>
      </c>
      <c r="C107" s="200">
        <v>57164.027399999999</v>
      </c>
      <c r="D107" s="200" t="s">
        <v>366</v>
      </c>
      <c r="E107" s="10">
        <f t="shared" si="24"/>
        <v>34543.35544858918</v>
      </c>
      <c r="F107">
        <f t="shared" si="30"/>
        <v>34543.5</v>
      </c>
      <c r="G107" s="9">
        <f t="shared" si="25"/>
        <v>-5.1786695003102068E-2</v>
      </c>
      <c r="K107" s="9">
        <f t="shared" si="23"/>
        <v>-5.1786695003102068E-2</v>
      </c>
      <c r="O107" s="9">
        <f t="shared" ca="1" si="31"/>
        <v>-5.2973025322575848E-2</v>
      </c>
      <c r="P107" s="9">
        <f t="shared" si="26"/>
        <v>-5.4780252798120946E-2</v>
      </c>
      <c r="Q107" s="11">
        <f t="shared" si="27"/>
        <v>42145.527399999999</v>
      </c>
      <c r="R107">
        <f t="shared" si="28"/>
        <v>8.9613882721182866E-6</v>
      </c>
      <c r="S107">
        <v>2</v>
      </c>
      <c r="T107">
        <f t="shared" si="29"/>
        <v>1.7922776544236573E-5</v>
      </c>
      <c r="X107" s="9"/>
    </row>
    <row r="108" spans="1:24">
      <c r="A108" s="202" t="s">
        <v>1</v>
      </c>
      <c r="B108" s="203" t="s">
        <v>39</v>
      </c>
      <c r="C108" s="202">
        <v>57527.111900000004</v>
      </c>
      <c r="D108" s="202" t="s">
        <v>121</v>
      </c>
      <c r="E108" s="10">
        <f t="shared" si="24"/>
        <v>35556.827668062775</v>
      </c>
      <c r="F108">
        <f t="shared" si="30"/>
        <v>35557</v>
      </c>
      <c r="G108" s="9">
        <f t="shared" si="25"/>
        <v>-6.1739289994875435E-2</v>
      </c>
      <c r="K108" s="9">
        <f t="shared" si="23"/>
        <v>-6.1739289994875435E-2</v>
      </c>
      <c r="O108" s="9">
        <f t="shared" ca="1" si="31"/>
        <v>-5.6518258523375123E-2</v>
      </c>
      <c r="P108" s="9">
        <f t="shared" si="26"/>
        <v>-5.9931696761694936E-2</v>
      </c>
      <c r="Q108" s="11">
        <f t="shared" si="27"/>
        <v>42508.611900000004</v>
      </c>
      <c r="R108">
        <f t="shared" si="28"/>
        <v>3.2673932966399297E-6</v>
      </c>
      <c r="S108">
        <v>5</v>
      </c>
      <c r="T108">
        <f t="shared" si="29"/>
        <v>1.6336966483199648E-5</v>
      </c>
      <c r="X108" s="9"/>
    </row>
    <row r="109" spans="1:24">
      <c r="A109" s="202" t="s">
        <v>1</v>
      </c>
      <c r="B109" s="203" t="s">
        <v>39</v>
      </c>
      <c r="C109" s="202">
        <v>57527.1126</v>
      </c>
      <c r="D109" s="202" t="s">
        <v>58</v>
      </c>
      <c r="E109" s="10">
        <f t="shared" si="24"/>
        <v>35556.829621962075</v>
      </c>
      <c r="F109">
        <f t="shared" si="30"/>
        <v>35557</v>
      </c>
      <c r="G109" s="9">
        <f t="shared" si="25"/>
        <v>-6.1039289998007007E-2</v>
      </c>
      <c r="K109" s="9">
        <f t="shared" si="23"/>
        <v>-6.1039289998007007E-2</v>
      </c>
      <c r="O109" s="9">
        <f t="shared" ca="1" si="31"/>
        <v>-5.6518258523375123E-2</v>
      </c>
      <c r="P109" s="9">
        <f t="shared" si="26"/>
        <v>-5.9931696761694936E-2</v>
      </c>
      <c r="Q109" s="11">
        <f t="shared" si="27"/>
        <v>42508.6126</v>
      </c>
      <c r="R109">
        <f t="shared" si="28"/>
        <v>1.2267627771242473E-6</v>
      </c>
      <c r="S109">
        <v>6</v>
      </c>
      <c r="T109">
        <f t="shared" si="29"/>
        <v>7.3605766627454836E-6</v>
      </c>
      <c r="X109" s="9"/>
    </row>
    <row r="110" spans="1:24">
      <c r="A110" s="202" t="s">
        <v>1</v>
      </c>
      <c r="B110" s="203" t="s">
        <v>39</v>
      </c>
      <c r="C110" s="202">
        <v>57527.113299999997</v>
      </c>
      <c r="D110" s="202" t="s">
        <v>366</v>
      </c>
      <c r="E110" s="10">
        <f t="shared" si="24"/>
        <v>35556.831575861375</v>
      </c>
      <c r="F110">
        <f t="shared" si="30"/>
        <v>35557</v>
      </c>
      <c r="G110" s="9">
        <f t="shared" si="25"/>
        <v>-6.0339290001138579E-2</v>
      </c>
      <c r="K110" s="9">
        <f t="shared" si="23"/>
        <v>-6.0339290001138579E-2</v>
      </c>
      <c r="O110" s="9">
        <f t="shared" ca="1" si="31"/>
        <v>-5.6518258523375123E-2</v>
      </c>
      <c r="P110" s="9">
        <f t="shared" si="26"/>
        <v>-5.9931696761694936E-2</v>
      </c>
      <c r="Q110" s="11">
        <f t="shared" si="27"/>
        <v>42508.613299999997</v>
      </c>
      <c r="R110">
        <f t="shared" si="28"/>
        <v>1.6613224884016308E-7</v>
      </c>
      <c r="S110">
        <v>7</v>
      </c>
      <c r="T110">
        <f t="shared" si="29"/>
        <v>1.1629257418811415E-6</v>
      </c>
      <c r="X110" s="9"/>
    </row>
    <row r="111" spans="1:24">
      <c r="A111" s="202" t="s">
        <v>0</v>
      </c>
      <c r="B111" s="203" t="s">
        <v>41</v>
      </c>
      <c r="C111" s="202">
        <v>58335.691599999998</v>
      </c>
      <c r="D111" s="202">
        <v>4.0000000000000002E-4</v>
      </c>
      <c r="E111" s="10">
        <f t="shared" si="24"/>
        <v>37813.803835264283</v>
      </c>
      <c r="F111">
        <f t="shared" si="30"/>
        <v>37814</v>
      </c>
      <c r="G111" s="9">
        <f t="shared" si="25"/>
        <v>-7.0277580001857132E-2</v>
      </c>
      <c r="K111" s="9">
        <f t="shared" si="23"/>
        <v>-7.0277580001857132E-2</v>
      </c>
      <c r="O111" s="9">
        <f t="shared" ca="1" si="31"/>
        <v>-6.4413267239905897E-2</v>
      </c>
      <c r="P111" s="9">
        <f t="shared" si="26"/>
        <v>-7.2159549748292348E-2</v>
      </c>
      <c r="Q111" s="11">
        <f t="shared" si="27"/>
        <v>43317.191599999998</v>
      </c>
      <c r="R111">
        <f t="shared" si="28"/>
        <v>3.5418101264974326E-6</v>
      </c>
      <c r="S111">
        <v>8</v>
      </c>
      <c r="T111">
        <f t="shared" si="29"/>
        <v>2.8334481011979461E-5</v>
      </c>
      <c r="X111" s="9"/>
    </row>
    <row r="112" spans="1:24">
      <c r="A112" s="204" t="s">
        <v>440</v>
      </c>
      <c r="B112" s="201" t="s">
        <v>39</v>
      </c>
      <c r="C112" s="200">
        <v>58946.159</v>
      </c>
      <c r="D112" s="200" t="s">
        <v>366</v>
      </c>
      <c r="E112" s="10">
        <f t="shared" si="24"/>
        <v>39517.792165237799</v>
      </c>
      <c r="F112">
        <f t="shared" si="30"/>
        <v>39518</v>
      </c>
      <c r="G112" s="9">
        <f t="shared" si="25"/>
        <v>-7.4458460003370419E-2</v>
      </c>
      <c r="K112" s="9">
        <f t="shared" si="23"/>
        <v>-7.4458460003370419E-2</v>
      </c>
      <c r="O112" s="9">
        <f t="shared" ca="1" si="31"/>
        <v>-7.0373876390534357E-2</v>
      </c>
      <c r="P112" s="9">
        <f t="shared" si="26"/>
        <v>-8.2082585987569609E-2</v>
      </c>
      <c r="Q112" s="11">
        <f t="shared" si="27"/>
        <v>43927.659</v>
      </c>
      <c r="R112">
        <f t="shared" si="28"/>
        <v>5.8127297022941264E-5</v>
      </c>
      <c r="S112">
        <v>8</v>
      </c>
      <c r="T112">
        <f t="shared" si="29"/>
        <v>4.6501837618353011E-4</v>
      </c>
      <c r="X112" s="9"/>
    </row>
    <row r="113" spans="1:24">
      <c r="A113" s="204" t="s">
        <v>440</v>
      </c>
      <c r="B113" s="201" t="s">
        <v>39</v>
      </c>
      <c r="C113" s="200">
        <v>58946.161</v>
      </c>
      <c r="D113" s="200" t="s">
        <v>58</v>
      </c>
      <c r="E113" s="10">
        <f t="shared" si="24"/>
        <v>39517.797747807257</v>
      </c>
      <c r="F113">
        <f t="shared" si="30"/>
        <v>39518</v>
      </c>
      <c r="G113" s="9">
        <f t="shared" si="25"/>
        <v>-7.2458460002962966E-2</v>
      </c>
      <c r="K113" s="9">
        <f t="shared" si="23"/>
        <v>-7.2458460002962966E-2</v>
      </c>
      <c r="O113" s="9">
        <f t="shared" ca="1" si="31"/>
        <v>-7.0373876390534357E-2</v>
      </c>
      <c r="P113" s="9">
        <f t="shared" si="26"/>
        <v>-8.2082585987569609E-2</v>
      </c>
      <c r="Q113" s="11">
        <f t="shared" si="27"/>
        <v>43927.661</v>
      </c>
      <c r="R113">
        <f t="shared" si="28"/>
        <v>9.2623800967580792E-5</v>
      </c>
      <c r="S113">
        <v>8</v>
      </c>
      <c r="T113">
        <f t="shared" si="29"/>
        <v>7.4099040774064633E-4</v>
      </c>
      <c r="X113" s="9"/>
    </row>
    <row r="114" spans="1:24">
      <c r="A114" s="204" t="s">
        <v>440</v>
      </c>
      <c r="B114" s="201" t="s">
        <v>39</v>
      </c>
      <c r="C114" s="200">
        <v>58946.161</v>
      </c>
      <c r="D114" s="200" t="s">
        <v>121</v>
      </c>
      <c r="E114" s="10">
        <f t="shared" si="24"/>
        <v>39517.797747807257</v>
      </c>
      <c r="F114">
        <f t="shared" si="30"/>
        <v>39518</v>
      </c>
      <c r="G114" s="9">
        <f t="shared" si="25"/>
        <v>-7.2458460002962966E-2</v>
      </c>
      <c r="K114" s="9">
        <f t="shared" si="23"/>
        <v>-7.2458460002962966E-2</v>
      </c>
      <c r="O114" s="9">
        <f t="shared" ca="1" si="31"/>
        <v>-7.0373876390534357E-2</v>
      </c>
      <c r="P114" s="9">
        <f t="shared" si="26"/>
        <v>-8.2082585987569609E-2</v>
      </c>
      <c r="Q114" s="11">
        <f t="shared" si="27"/>
        <v>43927.661</v>
      </c>
      <c r="R114">
        <f t="shared" si="28"/>
        <v>9.2623800967580792E-5</v>
      </c>
      <c r="S114">
        <v>8</v>
      </c>
      <c r="T114">
        <f t="shared" si="29"/>
        <v>7.4099040774064633E-4</v>
      </c>
      <c r="X114" s="9"/>
    </row>
    <row r="115" spans="1:24">
      <c r="A115" s="204" t="s">
        <v>440</v>
      </c>
      <c r="B115" s="201" t="s">
        <v>39</v>
      </c>
      <c r="C115" s="200">
        <v>58965.147199999999</v>
      </c>
      <c r="D115" s="200" t="s">
        <v>366</v>
      </c>
      <c r="E115" s="10">
        <f t="shared" si="24"/>
        <v>39570.793637891707</v>
      </c>
      <c r="F115">
        <f t="shared" si="30"/>
        <v>39571</v>
      </c>
      <c r="G115" s="9">
        <f t="shared" si="25"/>
        <v>-7.3930869999458082E-2</v>
      </c>
      <c r="K115" s="9">
        <f t="shared" si="23"/>
        <v>-7.3930869999458082E-2</v>
      </c>
      <c r="O115" s="9">
        <f t="shared" ca="1" si="31"/>
        <v>-7.0559270923975265E-2</v>
      </c>
      <c r="P115" s="9">
        <f t="shared" si="26"/>
        <v>-8.2400761216770591E-2</v>
      </c>
      <c r="Q115" s="11">
        <f t="shared" si="27"/>
        <v>43946.647199999999</v>
      </c>
      <c r="R115">
        <f t="shared" si="28"/>
        <v>7.1739057233107561E-5</v>
      </c>
      <c r="S115">
        <v>8</v>
      </c>
      <c r="T115">
        <f t="shared" si="29"/>
        <v>5.7391245786486049E-4</v>
      </c>
      <c r="X115" s="9"/>
    </row>
    <row r="116" spans="1:24">
      <c r="A116" s="204" t="s">
        <v>440</v>
      </c>
      <c r="B116" s="201" t="s">
        <v>39</v>
      </c>
      <c r="C116" s="200">
        <v>58965.147400000002</v>
      </c>
      <c r="D116" s="200" t="s">
        <v>121</v>
      </c>
      <c r="E116" s="10">
        <f t="shared" si="24"/>
        <v>39570.794196148665</v>
      </c>
      <c r="F116">
        <f t="shared" si="30"/>
        <v>39571</v>
      </c>
      <c r="G116" s="9">
        <f t="shared" si="25"/>
        <v>-7.3730869997234549E-2</v>
      </c>
      <c r="K116" s="9">
        <f t="shared" si="23"/>
        <v>-7.3730869997234549E-2</v>
      </c>
      <c r="O116" s="9">
        <f t="shared" ca="1" si="31"/>
        <v>-7.0559270923975265E-2</v>
      </c>
      <c r="P116" s="9">
        <f t="shared" si="26"/>
        <v>-8.2400761216770591E-2</v>
      </c>
      <c r="Q116" s="11">
        <f t="shared" si="27"/>
        <v>43946.647400000002</v>
      </c>
      <c r="R116">
        <f t="shared" si="28"/>
        <v>7.5167013758588148E-5</v>
      </c>
      <c r="S116">
        <v>8</v>
      </c>
      <c r="T116">
        <f t="shared" si="29"/>
        <v>6.0133611006870518E-4</v>
      </c>
      <c r="X116" s="9"/>
    </row>
    <row r="117" spans="1:24">
      <c r="A117" s="204" t="s">
        <v>440</v>
      </c>
      <c r="B117" s="201" t="s">
        <v>39</v>
      </c>
      <c r="C117" s="200">
        <v>58965.150099999999</v>
      </c>
      <c r="D117" s="200" t="s">
        <v>58</v>
      </c>
      <c r="E117" s="10">
        <f t="shared" si="24"/>
        <v>39570.801732617416</v>
      </c>
      <c r="F117">
        <f t="shared" si="30"/>
        <v>39571</v>
      </c>
      <c r="G117" s="9">
        <f t="shared" ref="G117:G119" si="32">+C117-(C$7+F117*C$8)</f>
        <v>-7.1030869999958668E-2</v>
      </c>
      <c r="K117" s="9">
        <f t="shared" si="23"/>
        <v>-7.1030869999958668E-2</v>
      </c>
      <c r="O117" s="9">
        <f t="shared" ca="1" si="31"/>
        <v>-7.0559270923975265E-2</v>
      </c>
      <c r="P117" s="9">
        <f t="shared" si="26"/>
        <v>-8.2400761216770591E-2</v>
      </c>
      <c r="Q117" s="11">
        <f t="shared" si="27"/>
        <v>43946.650099999999</v>
      </c>
      <c r="R117">
        <f t="shared" si="28"/>
        <v>1.2927442628213689E-4</v>
      </c>
      <c r="S117">
        <v>8</v>
      </c>
      <c r="T117">
        <f t="shared" ref="T117:T119" si="33">S117*R117</f>
        <v>1.0341954102570951E-3</v>
      </c>
      <c r="X117" s="9"/>
    </row>
    <row r="118" spans="1:24">
      <c r="A118" s="204" t="s">
        <v>440</v>
      </c>
      <c r="B118" s="201" t="s">
        <v>41</v>
      </c>
      <c r="C118" s="200">
        <v>58993.991999999998</v>
      </c>
      <c r="D118" s="200" t="s">
        <v>366</v>
      </c>
      <c r="E118" s="10">
        <f t="shared" si="24"/>
        <v>39651.307687586122</v>
      </c>
      <c r="F118">
        <f t="shared" si="30"/>
        <v>39651.5</v>
      </c>
      <c r="G118" s="9">
        <f t="shared" si="32"/>
        <v>-6.8897454999387264E-2</v>
      </c>
      <c r="K118" s="9">
        <f t="shared" si="23"/>
        <v>-6.8897454999387264E-2</v>
      </c>
      <c r="O118" s="9">
        <f t="shared" ca="1" si="31"/>
        <v>-7.0840860734201566E-2</v>
      </c>
      <c r="P118" s="9">
        <f t="shared" si="26"/>
        <v>-8.288512790332439E-2</v>
      </c>
      <c r="Q118" s="11">
        <f t="shared" si="27"/>
        <v>43975.491999999998</v>
      </c>
      <c r="R118">
        <f t="shared" si="28"/>
        <v>1.9565499326753687E-4</v>
      </c>
      <c r="S118">
        <v>8</v>
      </c>
      <c r="T118">
        <f t="shared" si="33"/>
        <v>1.565239946140295E-3</v>
      </c>
      <c r="X118" s="9"/>
    </row>
    <row r="119" spans="1:24">
      <c r="A119" s="204" t="s">
        <v>440</v>
      </c>
      <c r="B119" s="201" t="s">
        <v>41</v>
      </c>
      <c r="C119" s="200">
        <v>58999.006999999998</v>
      </c>
      <c r="D119" s="200" t="s">
        <v>366</v>
      </c>
      <c r="E119" s="10">
        <f t="shared" si="24"/>
        <v>39665.305980492209</v>
      </c>
      <c r="F119">
        <f t="shared" si="30"/>
        <v>39665.5</v>
      </c>
      <c r="G119" s="9">
        <f t="shared" si="32"/>
        <v>-6.9509035005467013E-2</v>
      </c>
      <c r="K119" s="9">
        <f t="shared" si="23"/>
        <v>-6.9509035005467013E-2</v>
      </c>
      <c r="O119" s="9">
        <f t="shared" ca="1" si="31"/>
        <v>-7.088983287511047E-2</v>
      </c>
      <c r="P119" s="9">
        <f t="shared" si="26"/>
        <v>-8.2969501071678803E-2</v>
      </c>
      <c r="Q119" s="11">
        <f t="shared" si="27"/>
        <v>43980.506999999998</v>
      </c>
      <c r="R119">
        <f t="shared" si="28"/>
        <v>1.811841467196391E-4</v>
      </c>
      <c r="S119">
        <v>8</v>
      </c>
      <c r="T119">
        <f t="shared" si="33"/>
        <v>1.4494731737571128E-3</v>
      </c>
      <c r="X119" s="9"/>
    </row>
    <row r="120" spans="1:24">
      <c r="A120" s="205" t="s">
        <v>441</v>
      </c>
      <c r="B120" s="206" t="s">
        <v>39</v>
      </c>
      <c r="C120" s="207">
        <v>59264.296000000089</v>
      </c>
      <c r="D120" s="205" t="s">
        <v>366</v>
      </c>
      <c r="E120" s="10">
        <f t="shared" ref="E120:E124" si="34">+(C120-C$7)/C$8</f>
        <v>40405.803114443173</v>
      </c>
      <c r="F120">
        <f t="shared" si="30"/>
        <v>40406</v>
      </c>
      <c r="G120" s="9">
        <f t="shared" ref="G120:G124" si="35">+C120-(C$7+F120*C$8)</f>
        <v>-7.0535819912038278E-2</v>
      </c>
      <c r="K120" s="9">
        <f t="shared" ref="K120:K124" si="36">+G120</f>
        <v>-7.0535819912038278E-2</v>
      </c>
      <c r="O120" s="9">
        <f t="shared" ref="O120:O124" ca="1" si="37">+C$11+C$12*F120</f>
        <v>-7.3480109328185828E-2</v>
      </c>
      <c r="P120" s="9">
        <f t="shared" ref="P120:P124" si="38">+D$11+D$12*F120+D$13*F120^2</f>
        <v>-8.7489454239471479E-2</v>
      </c>
      <c r="Q120" s="11">
        <f t="shared" ref="Q120:Q124" si="39">+C120-15018.5</f>
        <v>44245.796000000089</v>
      </c>
      <c r="R120">
        <f t="shared" ref="R120:R124" si="40">+(P120-G120)^2</f>
        <v>2.874257169083214E-4</v>
      </c>
      <c r="S120">
        <v>8</v>
      </c>
      <c r="T120">
        <f t="shared" ref="T120:T124" si="41">S120*R120</f>
        <v>2.2994057352665712E-3</v>
      </c>
      <c r="X120" s="9"/>
    </row>
    <row r="121" spans="1:24">
      <c r="A121" s="205" t="s">
        <v>441</v>
      </c>
      <c r="B121" s="206" t="s">
        <v>39</v>
      </c>
      <c r="C121" s="207">
        <v>59264.297999999952</v>
      </c>
      <c r="D121" s="205" t="s">
        <v>58</v>
      </c>
      <c r="E121" s="10">
        <f t="shared" si="34"/>
        <v>40405.808697012246</v>
      </c>
      <c r="F121">
        <f t="shared" si="30"/>
        <v>40406</v>
      </c>
      <c r="G121" s="9">
        <f t="shared" si="35"/>
        <v>-6.8535820049874019E-2</v>
      </c>
      <c r="K121" s="9">
        <f t="shared" si="36"/>
        <v>-6.8535820049874019E-2</v>
      </c>
      <c r="O121" s="9">
        <f t="shared" ca="1" si="37"/>
        <v>-7.3480109328185828E-2</v>
      </c>
      <c r="P121" s="9">
        <f t="shared" si="38"/>
        <v>-8.7489454239471479E-2</v>
      </c>
      <c r="Q121" s="11">
        <f t="shared" si="39"/>
        <v>44245.797999999952</v>
      </c>
      <c r="R121">
        <f t="shared" si="40"/>
        <v>3.5924024899307777E-4</v>
      </c>
      <c r="S121">
        <v>8</v>
      </c>
      <c r="T121">
        <f t="shared" si="41"/>
        <v>2.8739219919446221E-3</v>
      </c>
      <c r="X121" s="9"/>
    </row>
    <row r="122" spans="1:24">
      <c r="A122" s="205" t="s">
        <v>441</v>
      </c>
      <c r="B122" s="206" t="s">
        <v>39</v>
      </c>
      <c r="C122" s="207">
        <v>59292.23900000006</v>
      </c>
      <c r="D122" s="205" t="s">
        <v>442</v>
      </c>
      <c r="E122" s="10">
        <f t="shared" si="34"/>
        <v>40483.799983570665</v>
      </c>
      <c r="F122">
        <f t="shared" si="30"/>
        <v>40484</v>
      </c>
      <c r="G122" s="9">
        <f t="shared" si="35"/>
        <v>-7.1657479944406077E-2</v>
      </c>
      <c r="K122" s="9">
        <f t="shared" si="36"/>
        <v>-7.1657479944406077E-2</v>
      </c>
      <c r="O122" s="9">
        <f t="shared" ca="1" si="37"/>
        <v>-7.3752954113249808E-2</v>
      </c>
      <c r="P122" s="9">
        <f t="shared" si="38"/>
        <v>-8.7972097977558561E-2</v>
      </c>
      <c r="Q122" s="11">
        <f t="shared" si="39"/>
        <v>44273.73900000006</v>
      </c>
      <c r="R122">
        <f t="shared" si="40"/>
        <v>2.6616676156766421E-4</v>
      </c>
      <c r="S122">
        <v>8</v>
      </c>
      <c r="T122">
        <f t="shared" si="41"/>
        <v>2.1293340925413137E-3</v>
      </c>
      <c r="X122" s="9"/>
    </row>
    <row r="123" spans="1:24">
      <c r="A123" s="205" t="s">
        <v>441</v>
      </c>
      <c r="B123" s="206" t="s">
        <v>39</v>
      </c>
      <c r="C123" s="207">
        <v>59292.240000000224</v>
      </c>
      <c r="D123" s="205" t="s">
        <v>58</v>
      </c>
      <c r="E123" s="10">
        <f t="shared" si="34"/>
        <v>40483.802774855845</v>
      </c>
      <c r="F123">
        <f t="shared" si="30"/>
        <v>40484</v>
      </c>
      <c r="G123" s="9">
        <f t="shared" si="35"/>
        <v>-7.0657479780493304E-2</v>
      </c>
      <c r="K123" s="9">
        <f t="shared" si="36"/>
        <v>-7.0657479780493304E-2</v>
      </c>
      <c r="O123" s="9">
        <f t="shared" ca="1" si="37"/>
        <v>-7.3752954113249808E-2</v>
      </c>
      <c r="P123" s="9">
        <f t="shared" si="38"/>
        <v>-8.7972097977558561E-2</v>
      </c>
      <c r="Q123" s="11">
        <f t="shared" si="39"/>
        <v>44273.740000000224</v>
      </c>
      <c r="R123">
        <f t="shared" si="40"/>
        <v>2.9979600331014335E-4</v>
      </c>
      <c r="S123">
        <v>8</v>
      </c>
      <c r="T123">
        <f t="shared" si="41"/>
        <v>2.3983680264811468E-3</v>
      </c>
      <c r="X123" s="9"/>
    </row>
    <row r="124" spans="1:24">
      <c r="A124" s="205" t="s">
        <v>441</v>
      </c>
      <c r="B124" s="206" t="s">
        <v>39</v>
      </c>
      <c r="C124" s="207">
        <v>59292.242999999784</v>
      </c>
      <c r="D124" s="205" t="s">
        <v>120</v>
      </c>
      <c r="E124" s="10">
        <f t="shared" si="34"/>
        <v>40483.811148708803</v>
      </c>
      <c r="F124">
        <f t="shared" si="30"/>
        <v>40484</v>
      </c>
      <c r="G124" s="9">
        <f t="shared" si="35"/>
        <v>-6.7657480220077559E-2</v>
      </c>
      <c r="K124" s="9">
        <f t="shared" si="36"/>
        <v>-6.7657480220077559E-2</v>
      </c>
      <c r="O124" s="9">
        <f t="shared" ca="1" si="37"/>
        <v>-7.3752954113249808E-2</v>
      </c>
      <c r="P124" s="9">
        <f t="shared" si="38"/>
        <v>-8.7972097977558561E-2</v>
      </c>
      <c r="Q124" s="11">
        <f t="shared" si="39"/>
        <v>44273.742999999784</v>
      </c>
      <c r="R124">
        <f t="shared" si="40"/>
        <v>4.1268369463256241E-4</v>
      </c>
      <c r="S124">
        <v>8</v>
      </c>
      <c r="T124">
        <f t="shared" si="41"/>
        <v>3.3014695570604993E-3</v>
      </c>
      <c r="X124" s="9"/>
    </row>
    <row r="125" spans="1:24">
      <c r="A125" s="208" t="s">
        <v>443</v>
      </c>
      <c r="B125" s="209" t="s">
        <v>39</v>
      </c>
      <c r="C125" s="210">
        <v>59628.276999999769</v>
      </c>
      <c r="D125" s="14"/>
      <c r="E125" s="10">
        <f t="shared" ref="E125:E128" si="42">+(C125-C$7)/C$8</f>
        <v>41421.77772067365</v>
      </c>
      <c r="F125">
        <f t="shared" ref="F125:F128" si="43">ROUND(2*E125,0)/2</f>
        <v>41422</v>
      </c>
      <c r="G125" s="9">
        <f t="shared" ref="G125:G128" si="44">+C125-(C$7+F125*C$8)</f>
        <v>-7.9633340232248884E-2</v>
      </c>
      <c r="K125" s="9">
        <f t="shared" ref="K125:K128" si="45">+G125</f>
        <v>-7.9633340232248884E-2</v>
      </c>
      <c r="O125" s="9">
        <f t="shared" ref="O125:O128" ca="1" si="46">+C$11+C$12*F125</f>
        <v>-7.7034087554147396E-2</v>
      </c>
      <c r="P125" s="9">
        <f t="shared" ref="P125:P128" si="47">+D$11+D$12*F125+D$13*F125^2</f>
        <v>-9.3873792483336535E-2</v>
      </c>
      <c r="Q125" s="11">
        <f t="shared" ref="Q125:Q128" si="48">+C125-15018.5</f>
        <v>44609.776999999769</v>
      </c>
      <c r="R125">
        <f t="shared" ref="R125:R128" si="49">+(P125-G125)^2</f>
        <v>2.0279048031550737E-4</v>
      </c>
      <c r="S125">
        <v>8</v>
      </c>
      <c r="T125">
        <f t="shared" ref="T125:T128" si="50">S125*R125</f>
        <v>1.6223238425240589E-3</v>
      </c>
      <c r="X125" s="9"/>
    </row>
    <row r="126" spans="1:24">
      <c r="A126" s="208" t="s">
        <v>443</v>
      </c>
      <c r="B126" s="209" t="s">
        <v>39</v>
      </c>
      <c r="C126" s="210">
        <v>59628.277999999933</v>
      </c>
      <c r="D126" s="14"/>
      <c r="E126" s="10">
        <f t="shared" si="42"/>
        <v>41421.780511958837</v>
      </c>
      <c r="F126">
        <f t="shared" si="43"/>
        <v>41422</v>
      </c>
      <c r="G126" s="9">
        <f t="shared" si="44"/>
        <v>-7.8633340068336111E-2</v>
      </c>
      <c r="K126" s="9">
        <f t="shared" si="45"/>
        <v>-7.8633340068336111E-2</v>
      </c>
      <c r="O126" s="9">
        <f t="shared" ca="1" si="46"/>
        <v>-7.7034087554147396E-2</v>
      </c>
      <c r="P126" s="9">
        <f t="shared" si="47"/>
        <v>-9.3873792483336535E-2</v>
      </c>
      <c r="Q126" s="11">
        <f t="shared" si="48"/>
        <v>44609.777999999933</v>
      </c>
      <c r="R126">
        <f t="shared" si="49"/>
        <v>2.3227138981389228E-4</v>
      </c>
      <c r="S126">
        <v>8</v>
      </c>
      <c r="T126">
        <f t="shared" si="50"/>
        <v>1.8581711185111382E-3</v>
      </c>
      <c r="X126" s="9"/>
    </row>
    <row r="127" spans="1:24">
      <c r="A127" s="208" t="s">
        <v>443</v>
      </c>
      <c r="B127" s="209" t="s">
        <v>39</v>
      </c>
      <c r="C127" s="210">
        <v>59651.195999999996</v>
      </c>
      <c r="D127" s="14"/>
      <c r="E127" s="10">
        <f t="shared" si="42"/>
        <v>41485.751175333229</v>
      </c>
      <c r="F127">
        <f t="shared" si="43"/>
        <v>41486</v>
      </c>
      <c r="G127" s="9">
        <f t="shared" si="44"/>
        <v>-8.9143420002073981E-2</v>
      </c>
      <c r="K127" s="9">
        <f t="shared" si="45"/>
        <v>-8.9143420002073981E-2</v>
      </c>
      <c r="O127" s="9">
        <f t="shared" ca="1" si="46"/>
        <v>-7.7257960198302444E-2</v>
      </c>
      <c r="P127" s="9">
        <f t="shared" si="47"/>
        <v>-9.4283033856301351E-2</v>
      </c>
      <c r="Q127" s="11">
        <f t="shared" si="48"/>
        <v>44632.695999999996</v>
      </c>
      <c r="R127">
        <f t="shared" si="49"/>
        <v>2.6415630570565927E-5</v>
      </c>
      <c r="S127">
        <v>8</v>
      </c>
      <c r="T127">
        <f t="shared" si="50"/>
        <v>2.1132504456452742E-4</v>
      </c>
      <c r="X127" s="9"/>
    </row>
    <row r="128" spans="1:24">
      <c r="A128" s="208" t="s">
        <v>443</v>
      </c>
      <c r="B128" s="209" t="s">
        <v>39</v>
      </c>
      <c r="C128" s="210">
        <v>59651.200000000186</v>
      </c>
      <c r="D128" s="14"/>
      <c r="E128" s="10">
        <f t="shared" si="42"/>
        <v>41485.762340472662</v>
      </c>
      <c r="F128">
        <f t="shared" si="43"/>
        <v>41486</v>
      </c>
      <c r="G128" s="9">
        <f t="shared" si="44"/>
        <v>-8.5143419812084176E-2</v>
      </c>
      <c r="K128" s="9">
        <f t="shared" si="45"/>
        <v>-8.5143419812084176E-2</v>
      </c>
      <c r="O128" s="9">
        <f t="shared" ca="1" si="46"/>
        <v>-7.7257960198302444E-2</v>
      </c>
      <c r="P128" s="9">
        <f t="shared" si="47"/>
        <v>-9.4283033856301351E-2</v>
      </c>
      <c r="Q128" s="11">
        <f t="shared" si="48"/>
        <v>44632.700000000186</v>
      </c>
      <c r="R128">
        <f t="shared" si="49"/>
        <v>8.3532544877251838E-5</v>
      </c>
      <c r="S128">
        <v>8</v>
      </c>
      <c r="T128">
        <f t="shared" si="50"/>
        <v>6.682603590180147E-4</v>
      </c>
      <c r="X128" s="9"/>
    </row>
    <row r="129" spans="3:24">
      <c r="C129" s="14"/>
      <c r="D129" s="14"/>
      <c r="X129" s="9"/>
    </row>
    <row r="130" spans="3:24">
      <c r="C130" s="14"/>
      <c r="D130" s="14"/>
      <c r="X130" s="9"/>
    </row>
    <row r="131" spans="3:24">
      <c r="C131" s="14"/>
      <c r="D131" s="14"/>
      <c r="X131" s="9"/>
    </row>
    <row r="132" spans="3:24">
      <c r="C132" s="14"/>
      <c r="D132" s="14"/>
      <c r="X132" s="9"/>
    </row>
    <row r="133" spans="3:24">
      <c r="C133" s="14"/>
      <c r="D133" s="14"/>
      <c r="X133" s="9"/>
    </row>
    <row r="134" spans="3:24">
      <c r="C134" s="14"/>
      <c r="D134" s="14"/>
      <c r="X134" s="9"/>
    </row>
    <row r="135" spans="3:24">
      <c r="C135" s="14"/>
      <c r="D135" s="14"/>
      <c r="X135" s="9"/>
    </row>
    <row r="136" spans="3:24">
      <c r="C136" s="14"/>
      <c r="D136" s="14"/>
      <c r="X136" s="9"/>
    </row>
    <row r="137" spans="3:24">
      <c r="C137" s="14"/>
      <c r="D137" s="14"/>
      <c r="X137" s="9"/>
    </row>
    <row r="138" spans="3:24">
      <c r="C138" s="14"/>
      <c r="D138" s="14"/>
      <c r="X138" s="9"/>
    </row>
    <row r="139" spans="3:24">
      <c r="C139" s="14"/>
      <c r="D139" s="14"/>
      <c r="X139" s="9"/>
    </row>
    <row r="140" spans="3:24">
      <c r="C140" s="14"/>
      <c r="D140" s="14"/>
      <c r="X140" s="9"/>
    </row>
    <row r="141" spans="3:24">
      <c r="C141" s="14"/>
      <c r="D141" s="14"/>
      <c r="X141" s="9"/>
    </row>
    <row r="142" spans="3:24">
      <c r="C142" s="14"/>
      <c r="D142" s="14"/>
      <c r="X142" s="9"/>
    </row>
    <row r="143" spans="3:24">
      <c r="C143" s="14"/>
      <c r="D143" s="14"/>
      <c r="X143" s="9"/>
    </row>
    <row r="144" spans="3:24">
      <c r="C144" s="14"/>
      <c r="D144" s="14"/>
      <c r="X144" s="9"/>
    </row>
    <row r="145" spans="3:24">
      <c r="C145" s="14"/>
      <c r="D145" s="14"/>
      <c r="X145" s="9"/>
    </row>
    <row r="146" spans="3:24">
      <c r="C146" s="14"/>
      <c r="D146" s="14"/>
      <c r="X146" s="9"/>
    </row>
    <row r="147" spans="3:24">
      <c r="C147" s="14"/>
      <c r="D147" s="14"/>
      <c r="X147" s="9"/>
    </row>
    <row r="148" spans="3:24">
      <c r="C148" s="14"/>
      <c r="D148" s="14"/>
      <c r="X148" s="9"/>
    </row>
    <row r="149" spans="3:24">
      <c r="C149" s="14"/>
      <c r="D149" s="14"/>
      <c r="X149" s="9"/>
    </row>
    <row r="150" spans="3:24">
      <c r="C150" s="14"/>
      <c r="D150" s="14"/>
      <c r="X150" s="9"/>
    </row>
    <row r="151" spans="3:24">
      <c r="C151" s="14"/>
      <c r="D151" s="14"/>
      <c r="X151" s="9"/>
    </row>
    <row r="152" spans="3:24">
      <c r="C152" s="14"/>
      <c r="D152" s="14"/>
      <c r="X152" s="9"/>
    </row>
    <row r="153" spans="3:24">
      <c r="C153" s="14"/>
      <c r="D153" s="14"/>
      <c r="X153" s="9"/>
    </row>
    <row r="154" spans="3:24">
      <c r="C154" s="14"/>
      <c r="D154" s="14"/>
      <c r="X154" s="9"/>
    </row>
    <row r="155" spans="3:24">
      <c r="C155" s="14"/>
      <c r="D155" s="14"/>
      <c r="X155" s="9"/>
    </row>
    <row r="156" spans="3:24">
      <c r="C156" s="14"/>
      <c r="D156" s="14"/>
      <c r="X156" s="9"/>
    </row>
    <row r="157" spans="3:24">
      <c r="C157" s="14"/>
      <c r="D157" s="14"/>
      <c r="X157" s="9"/>
    </row>
    <row r="158" spans="3:24">
      <c r="C158" s="14"/>
      <c r="D158" s="14"/>
      <c r="X158" s="9"/>
    </row>
    <row r="159" spans="3:24">
      <c r="C159" s="14"/>
      <c r="D159" s="14"/>
      <c r="X159" s="9"/>
    </row>
    <row r="160" spans="3:24">
      <c r="C160" s="14"/>
      <c r="D160" s="14"/>
      <c r="X160" s="9"/>
    </row>
    <row r="161" spans="3:24">
      <c r="C161" s="14"/>
      <c r="D161" s="14"/>
      <c r="X161" s="9"/>
    </row>
    <row r="162" spans="3:24">
      <c r="C162" s="14"/>
      <c r="D162" s="14"/>
      <c r="X162" s="9"/>
    </row>
    <row r="163" spans="3:24">
      <c r="C163" s="14"/>
      <c r="D163" s="14"/>
      <c r="X163" s="9"/>
    </row>
    <row r="164" spans="3:24">
      <c r="C164" s="14"/>
      <c r="D164" s="14"/>
      <c r="X164" s="9"/>
    </row>
    <row r="165" spans="3:24">
      <c r="C165" s="14"/>
      <c r="D165" s="14"/>
      <c r="X165" s="9"/>
    </row>
    <row r="166" spans="3:24">
      <c r="C166" s="14"/>
      <c r="D166" s="14"/>
      <c r="X166" s="9"/>
    </row>
    <row r="167" spans="3:24">
      <c r="C167" s="14"/>
      <c r="D167" s="14"/>
      <c r="X167" s="9"/>
    </row>
    <row r="168" spans="3:24">
      <c r="C168" s="14"/>
      <c r="D168" s="14"/>
      <c r="X168" s="9"/>
    </row>
    <row r="169" spans="3:24">
      <c r="C169" s="14"/>
      <c r="D169" s="14"/>
      <c r="X169" s="9"/>
    </row>
    <row r="170" spans="3:24">
      <c r="C170" s="14"/>
      <c r="D170" s="14"/>
      <c r="X170" s="9"/>
    </row>
    <row r="171" spans="3:24">
      <c r="C171" s="14"/>
      <c r="D171" s="14"/>
      <c r="X171" s="9"/>
    </row>
    <row r="172" spans="3:24">
      <c r="C172" s="14"/>
      <c r="D172" s="14"/>
      <c r="X172" s="9"/>
    </row>
    <row r="173" spans="3:24">
      <c r="C173" s="14"/>
      <c r="D173" s="14"/>
      <c r="X173" s="9"/>
    </row>
    <row r="174" spans="3:24">
      <c r="C174" s="14"/>
      <c r="D174" s="14"/>
      <c r="X174" s="9"/>
    </row>
    <row r="175" spans="3:24">
      <c r="C175" s="14"/>
      <c r="D175" s="14"/>
      <c r="X175" s="9"/>
    </row>
    <row r="176" spans="3:24">
      <c r="C176" s="14"/>
      <c r="D176" s="14"/>
      <c r="X176" s="9"/>
    </row>
    <row r="177" spans="3:24">
      <c r="C177" s="14"/>
      <c r="D177" s="14"/>
      <c r="X177" s="9"/>
    </row>
    <row r="178" spans="3:24">
      <c r="C178" s="14"/>
      <c r="D178" s="14"/>
      <c r="X178" s="9"/>
    </row>
    <row r="179" spans="3:24">
      <c r="C179" s="14"/>
      <c r="D179" s="14"/>
      <c r="X179" s="9"/>
    </row>
    <row r="180" spans="3:24">
      <c r="C180" s="14"/>
      <c r="D180" s="14"/>
      <c r="X180" s="9"/>
    </row>
    <row r="181" spans="3:24">
      <c r="C181" s="14"/>
      <c r="D181" s="14"/>
      <c r="X181" s="9"/>
    </row>
    <row r="182" spans="3:24">
      <c r="C182" s="14"/>
      <c r="D182" s="14"/>
      <c r="X182" s="9"/>
    </row>
    <row r="183" spans="3:24">
      <c r="C183" s="14"/>
      <c r="D183" s="14"/>
      <c r="X183" s="9"/>
    </row>
    <row r="184" spans="3:24">
      <c r="C184" s="14"/>
      <c r="D184" s="14"/>
      <c r="X184" s="9"/>
    </row>
    <row r="185" spans="3:24">
      <c r="C185" s="14"/>
      <c r="D185" s="14"/>
      <c r="X185" s="9"/>
    </row>
    <row r="186" spans="3:24">
      <c r="C186" s="14"/>
      <c r="D186" s="14"/>
      <c r="X186" s="9"/>
    </row>
    <row r="187" spans="3:24">
      <c r="C187" s="14"/>
      <c r="D187" s="14"/>
      <c r="X187" s="9"/>
    </row>
    <row r="188" spans="3:24">
      <c r="C188" s="14"/>
      <c r="D188" s="14"/>
      <c r="X188" s="9"/>
    </row>
    <row r="189" spans="3:24">
      <c r="C189" s="14"/>
      <c r="D189" s="14"/>
      <c r="X189" s="9"/>
    </row>
    <row r="190" spans="3:24">
      <c r="C190" s="14"/>
      <c r="D190" s="14"/>
      <c r="X190" s="9"/>
    </row>
    <row r="191" spans="3:24">
      <c r="C191" s="14"/>
      <c r="D191" s="14"/>
      <c r="X191" s="9"/>
    </row>
    <row r="192" spans="3:24">
      <c r="C192" s="14"/>
      <c r="D192" s="14"/>
      <c r="X192" s="9"/>
    </row>
    <row r="193" spans="3:24">
      <c r="C193" s="14"/>
      <c r="D193" s="14"/>
      <c r="X193" s="9"/>
    </row>
    <row r="194" spans="3:24">
      <c r="C194" s="14"/>
      <c r="D194" s="14"/>
      <c r="X194" s="9"/>
    </row>
    <row r="195" spans="3:24">
      <c r="C195" s="14"/>
      <c r="D195" s="14"/>
      <c r="X195" s="9"/>
    </row>
    <row r="196" spans="3:24">
      <c r="C196" s="14"/>
      <c r="D196" s="14"/>
      <c r="X196" s="9"/>
    </row>
    <row r="197" spans="3:24">
      <c r="C197" s="14"/>
      <c r="D197" s="14"/>
      <c r="X197" s="9"/>
    </row>
    <row r="198" spans="3:24">
      <c r="C198" s="14"/>
      <c r="D198" s="14"/>
      <c r="X198" s="9"/>
    </row>
    <row r="199" spans="3:24">
      <c r="C199" s="14"/>
      <c r="D199" s="14"/>
      <c r="X199" s="9"/>
    </row>
    <row r="200" spans="3:24">
      <c r="C200" s="14"/>
      <c r="D200" s="14"/>
      <c r="X200" s="9"/>
    </row>
    <row r="201" spans="3:24">
      <c r="C201" s="14"/>
      <c r="D201" s="14"/>
      <c r="X201" s="9"/>
    </row>
    <row r="202" spans="3:24">
      <c r="C202" s="14"/>
      <c r="D202" s="14"/>
      <c r="X202" s="9"/>
    </row>
    <row r="203" spans="3:24">
      <c r="C203" s="14"/>
      <c r="D203" s="14"/>
      <c r="X203" s="9"/>
    </row>
    <row r="204" spans="3:24">
      <c r="C204" s="14"/>
      <c r="D204" s="14"/>
      <c r="X204" s="9"/>
    </row>
    <row r="205" spans="3:24">
      <c r="C205" s="14"/>
      <c r="D205" s="14"/>
      <c r="X205" s="9"/>
    </row>
    <row r="206" spans="3:24">
      <c r="C206" s="14"/>
      <c r="D206" s="14"/>
      <c r="X206" s="9"/>
    </row>
    <row r="207" spans="3:24">
      <c r="C207" s="14"/>
      <c r="D207" s="14"/>
      <c r="X207" s="9"/>
    </row>
    <row r="208" spans="3:24">
      <c r="C208" s="14"/>
      <c r="D208" s="14"/>
      <c r="X208" s="9"/>
    </row>
    <row r="209" spans="3:24">
      <c r="C209" s="14"/>
      <c r="D209" s="14"/>
      <c r="X209" s="9"/>
    </row>
    <row r="210" spans="3:24">
      <c r="C210" s="14"/>
      <c r="D210" s="14"/>
      <c r="X210" s="9"/>
    </row>
    <row r="211" spans="3:24">
      <c r="C211" s="14"/>
      <c r="D211" s="14"/>
      <c r="X211" s="9"/>
    </row>
    <row r="212" spans="3:24">
      <c r="C212" s="14"/>
      <c r="D212" s="14"/>
      <c r="X212" s="9"/>
    </row>
    <row r="213" spans="3:24">
      <c r="C213" s="14"/>
      <c r="D213" s="14"/>
    </row>
    <row r="214" spans="3:24">
      <c r="C214" s="14"/>
      <c r="D214" s="14"/>
    </row>
    <row r="215" spans="3:24">
      <c r="C215" s="14"/>
      <c r="D215" s="14"/>
    </row>
    <row r="216" spans="3:24">
      <c r="C216" s="14"/>
      <c r="D216" s="14"/>
    </row>
    <row r="217" spans="3:24">
      <c r="C217" s="14"/>
      <c r="D217" s="14"/>
    </row>
    <row r="218" spans="3:24">
      <c r="C218" s="14"/>
      <c r="D218" s="14"/>
    </row>
    <row r="219" spans="3:24">
      <c r="C219" s="14"/>
      <c r="D219" s="14"/>
    </row>
    <row r="220" spans="3:24">
      <c r="C220" s="14"/>
      <c r="D220" s="14"/>
    </row>
    <row r="221" spans="3:24">
      <c r="C221" s="14"/>
      <c r="D221" s="14"/>
    </row>
    <row r="222" spans="3:24">
      <c r="C222" s="14"/>
      <c r="D222" s="14"/>
    </row>
    <row r="223" spans="3:24">
      <c r="C223" s="14"/>
      <c r="D223" s="14"/>
    </row>
    <row r="224" spans="3:2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</sheetData>
  <protectedRanges>
    <protectedRange sqref="A112:D119" name="Range1"/>
  </protectedRanges>
  <phoneticPr fontId="8" type="noConversion"/>
  <hyperlinks>
    <hyperlink ref="H63959" r:id="rId1" display="http://vsolj.cetus-net.org/bulletin.html" xr:uid="{00000000-0004-0000-0100-000000000000}"/>
    <hyperlink ref="H63952" r:id="rId2" display="https://www.aavso.org/ejaavso" xr:uid="{00000000-0004-0000-0100-000001000000}"/>
    <hyperlink ref="I63959" r:id="rId3" display="http://vsolj.cetus-net.org/bulletin.html" xr:uid="{00000000-0004-0000-0100-000002000000}"/>
    <hyperlink ref="AQ57610" r:id="rId4" display="http://cdsbib.u-strasbg.fr/cgi-bin/cdsbib?1990RMxAA..21..381G" xr:uid="{00000000-0004-0000-0100-000003000000}"/>
    <hyperlink ref="H63956" r:id="rId5" display="https://www.aavso.org/ejaavso" xr:uid="{00000000-0004-0000-0100-000004000000}"/>
    <hyperlink ref="AP4974" r:id="rId6" display="http://cdsbib.u-strasbg.fr/cgi-bin/cdsbib?1990RMxAA..21..381G" xr:uid="{00000000-0004-0000-0100-000005000000}"/>
    <hyperlink ref="AP4977" r:id="rId7" display="http://cdsbib.u-strasbg.fr/cgi-bin/cdsbib?1990RMxAA..21..381G" xr:uid="{00000000-0004-0000-0100-000006000000}"/>
    <hyperlink ref="AP4975" r:id="rId8" display="http://cdsbib.u-strasbg.fr/cgi-bin/cdsbib?1990RMxAA..21..381G" xr:uid="{00000000-0004-0000-0100-000007000000}"/>
    <hyperlink ref="AP4959" r:id="rId9" display="http://cdsbib.u-strasbg.fr/cgi-bin/cdsbib?1990RMxAA..21..381G" xr:uid="{00000000-0004-0000-0100-000008000000}"/>
    <hyperlink ref="AQ5188" r:id="rId10" display="http://cdsbib.u-strasbg.fr/cgi-bin/cdsbib?1990RMxAA..21..381G" xr:uid="{00000000-0004-0000-0100-000009000000}"/>
    <hyperlink ref="AQ5192" r:id="rId11" display="http://cdsbib.u-strasbg.fr/cgi-bin/cdsbib?1990RMxAA..21..381G" xr:uid="{00000000-0004-0000-0100-00000A000000}"/>
    <hyperlink ref="AQ64872" r:id="rId12" display="http://cdsbib.u-strasbg.fr/cgi-bin/cdsbib?1990RMxAA..21..381G" xr:uid="{00000000-0004-0000-0100-00000B000000}"/>
    <hyperlink ref="I2080" r:id="rId13" display="http://vsolj.cetus-net.org/bulletin.html" xr:uid="{00000000-0004-0000-0100-00000C000000}"/>
    <hyperlink ref="H2080" r:id="rId14" display="http://vsolj.cetus-net.org/bulletin.html" xr:uid="{00000000-0004-0000-0100-00000D000000}"/>
    <hyperlink ref="AQ65533" r:id="rId15" display="http://cdsbib.u-strasbg.fr/cgi-bin/cdsbib?1990RMxAA..21..381G" xr:uid="{00000000-0004-0000-0100-00000E000000}"/>
    <hyperlink ref="AQ65532" r:id="rId16" display="http://cdsbib.u-strasbg.fr/cgi-bin/cdsbib?1990RMxAA..21..381G" xr:uid="{00000000-0004-0000-0100-00000F000000}"/>
    <hyperlink ref="AP3250" r:id="rId17" display="http://cdsbib.u-strasbg.fr/cgi-bin/cdsbib?1990RMxAA..21..381G" xr:uid="{00000000-0004-0000-0100-000010000000}"/>
    <hyperlink ref="AP3268" r:id="rId18" display="http://cdsbib.u-strasbg.fr/cgi-bin/cdsbib?1990RMxAA..21..381G" xr:uid="{00000000-0004-0000-0100-000011000000}"/>
    <hyperlink ref="AP3269" r:id="rId19" display="http://cdsbib.u-strasbg.fr/cgi-bin/cdsbib?1990RMxAA..21..381G" xr:uid="{00000000-0004-0000-0100-000012000000}"/>
    <hyperlink ref="AP3265" r:id="rId20" display="http://cdsbib.u-strasbg.fr/cgi-bin/cdsbib?1990RMxAA..21..381G" xr:uid="{00000000-0004-0000-0100-000013000000}"/>
  </hyperlinks>
  <pageMargins left="0.75" right="0.75" top="1" bottom="1" header="0.5" footer="0.5"/>
  <pageSetup orientation="portrait" r:id="rId21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5017-6A59-411A-9637-35E7728127B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W2534"/>
  <sheetViews>
    <sheetView workbookViewId="0">
      <pane xSplit="13" ySplit="21" topLeftCell="O22" activePane="bottomRight" state="frozen"/>
      <selection pane="topRight" activeCell="N1" sqref="N1"/>
      <selection pane="bottomLeft" activeCell="A22" sqref="A22"/>
      <selection pane="bottomRight" activeCell="U86" sqref="U86:U133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6.42578125" style="10" customWidth="1"/>
    <col min="6" max="6" width="9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 s="199" t="s">
        <v>438</v>
      </c>
      <c r="E2" s="198"/>
      <c r="F2" s="198"/>
      <c r="G2"/>
      <c r="H2"/>
      <c r="I2"/>
      <c r="J2"/>
      <c r="K2"/>
      <c r="L2"/>
      <c r="M2"/>
      <c r="N2"/>
      <c r="O2"/>
      <c r="P2"/>
      <c r="Q2"/>
      <c r="V2">
        <v>-50000</v>
      </c>
      <c r="W2" s="38">
        <f t="shared" ref="W2:W20" si="0">+D$11+D$12*V2+D$13*V2^2</f>
        <v>-0.40970727081309266</v>
      </c>
    </row>
    <row r="3" spans="1:23" ht="13.5" thickBot="1">
      <c r="C3"/>
      <c r="D3"/>
      <c r="E3"/>
      <c r="G3"/>
      <c r="H3"/>
      <c r="I3"/>
      <c r="J3"/>
      <c r="K3"/>
      <c r="L3"/>
      <c r="M3"/>
      <c r="N3"/>
      <c r="O3"/>
      <c r="P3"/>
      <c r="Q3"/>
      <c r="V3">
        <v>-45000</v>
      </c>
      <c r="W3" s="38">
        <f t="shared" si="0"/>
        <v>-0.3439729370546265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F47</v>
      </c>
      <c r="G4" s="34" t="str">
        <f>"G"&amp;E5</f>
        <v>G47</v>
      </c>
      <c r="H4"/>
      <c r="I4"/>
      <c r="J4"/>
      <c r="K4"/>
      <c r="L4"/>
      <c r="M4"/>
      <c r="N4"/>
      <c r="O4"/>
      <c r="P4"/>
      <c r="Q4"/>
      <c r="V4">
        <v>-40000</v>
      </c>
      <c r="W4" s="38">
        <f t="shared" si="0"/>
        <v>-0.28388939804828461</v>
      </c>
    </row>
    <row r="5" spans="1:23" ht="13.5" thickTop="1">
      <c r="A5" s="35" t="s">
        <v>48</v>
      </c>
      <c r="C5"/>
      <c r="D5"/>
      <c r="E5" s="36">
        <v>47</v>
      </c>
      <c r="G5"/>
      <c r="H5"/>
      <c r="I5"/>
      <c r="J5"/>
      <c r="K5"/>
      <c r="L5"/>
      <c r="M5"/>
      <c r="N5"/>
      <c r="O5"/>
      <c r="P5"/>
      <c r="Q5"/>
      <c r="V5">
        <v>-35000</v>
      </c>
      <c r="W5" s="38">
        <f t="shared" si="0"/>
        <v>-0.22945665379406693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-30000</v>
      </c>
      <c r="W6" s="38">
        <f t="shared" si="0"/>
        <v>-0.18067470429197346</v>
      </c>
    </row>
    <row r="7" spans="1:23">
      <c r="A7" t="s">
        <v>5</v>
      </c>
      <c r="C7" s="9">
        <v>44788.595000000001</v>
      </c>
      <c r="D7" s="34" t="s">
        <v>135</v>
      </c>
      <c r="E7"/>
      <c r="G7"/>
      <c r="H7"/>
      <c r="I7"/>
      <c r="J7"/>
      <c r="K7"/>
      <c r="L7"/>
      <c r="M7"/>
      <c r="N7"/>
      <c r="O7"/>
      <c r="P7"/>
      <c r="Q7"/>
      <c r="V7">
        <v>-25000</v>
      </c>
      <c r="W7" s="38">
        <f t="shared" si="0"/>
        <v>-0.13754354954200426</v>
      </c>
    </row>
    <row r="8" spans="1:23">
      <c r="A8" t="s">
        <v>6</v>
      </c>
      <c r="C8" s="12">
        <v>0.35825796999999998</v>
      </c>
      <c r="D8" s="34" t="s">
        <v>135</v>
      </c>
      <c r="E8"/>
      <c r="G8"/>
      <c r="H8"/>
      <c r="I8"/>
      <c r="J8"/>
      <c r="K8"/>
      <c r="L8"/>
      <c r="M8"/>
      <c r="N8"/>
      <c r="O8"/>
      <c r="P8"/>
      <c r="Q8"/>
      <c r="V8">
        <v>-20000</v>
      </c>
      <c r="W8" s="38">
        <f t="shared" si="0"/>
        <v>-0.10006318954415927</v>
      </c>
    </row>
    <row r="9" spans="1:23">
      <c r="A9" s="15" t="s">
        <v>45</v>
      </c>
      <c r="B9" s="16"/>
      <c r="C9" s="17">
        <v>-9.5</v>
      </c>
      <c r="D9" s="16" t="s">
        <v>46</v>
      </c>
      <c r="E9" s="16"/>
      <c r="G9"/>
      <c r="H9"/>
      <c r="I9"/>
      <c r="J9"/>
      <c r="K9"/>
      <c r="L9"/>
      <c r="M9"/>
      <c r="N9"/>
      <c r="O9"/>
      <c r="P9"/>
      <c r="Q9"/>
      <c r="V9">
        <v>-15000</v>
      </c>
      <c r="W9" s="38">
        <f t="shared" si="0"/>
        <v>-6.823362429843853E-2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-10000</v>
      </c>
      <c r="W10" s="38">
        <f t="shared" si="0"/>
        <v>-4.205485380484203E-2</v>
      </c>
    </row>
    <row r="11" spans="1:23">
      <c r="A11" s="16" t="s">
        <v>19</v>
      </c>
      <c r="B11" s="16"/>
      <c r="C11" s="32">
        <f ca="1">INTERCEPT(INDIRECT($G$4):G967,INDIRECT($F$4):F967)</f>
        <v>6.7765558715412982E-2</v>
      </c>
      <c r="D11" s="4">
        <f>+E11*F11</f>
        <v>-6.649697074021757E-3</v>
      </c>
      <c r="E11" s="39">
        <v>-66.496970740217563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-5000</v>
      </c>
      <c r="W11" s="38">
        <f t="shared" si="0"/>
        <v>-2.1526878063369774E-2</v>
      </c>
    </row>
    <row r="12" spans="1:23">
      <c r="A12" s="16" t="s">
        <v>20</v>
      </c>
      <c r="B12" s="16"/>
      <c r="C12" s="32">
        <f ca="1">SLOPE(INDIRECT($G$4):G967,INDIRECT($F$4):F967)</f>
        <v>-3.4859452635804021E-6</v>
      </c>
      <c r="D12" s="4">
        <f>+E12*F12</f>
        <v>2.41035672265718E-6</v>
      </c>
      <c r="E12" s="40">
        <v>2.41035672265718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0</v>
      </c>
      <c r="W12" s="38">
        <f t="shared" si="0"/>
        <v>-6.649697074021757E-3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-1.1301589504248477E-10</v>
      </c>
      <c r="E13" s="41">
        <v>-0.11301589504248477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5000</v>
      </c>
      <c r="W13" s="38">
        <f t="shared" si="0"/>
        <v>2.5766891632020231E-3</v>
      </c>
    </row>
    <row r="14" spans="1:23">
      <c r="A14" s="16"/>
      <c r="B14" s="16"/>
      <c r="C14" s="16"/>
      <c r="D14" s="16"/>
      <c r="E14" s="16">
        <f>SUM(T21:T145)</f>
        <v>8.2775537608685452E-3</v>
      </c>
      <c r="G14"/>
      <c r="H14"/>
      <c r="I14"/>
      <c r="J14"/>
      <c r="K14"/>
      <c r="L14"/>
      <c r="M14"/>
      <c r="N14"/>
      <c r="O14"/>
      <c r="P14"/>
      <c r="Q14"/>
      <c r="V14">
        <v>10000</v>
      </c>
      <c r="W14" s="38">
        <f t="shared" si="0"/>
        <v>6.1522806483015648E-3</v>
      </c>
    </row>
    <row r="15" spans="1:23">
      <c r="A15" s="18" t="s">
        <v>21</v>
      </c>
      <c r="B15" s="16"/>
      <c r="C15" s="19">
        <f ca="1">(C7+C11)+(C8+C12)*INT(MAX(F21:F3508))</f>
        <v>59651.20829105351</v>
      </c>
      <c r="D15" s="34">
        <f>+C7+INT(MAX(F21:F1582))*C8+D11+D12*INT(MAX(F21:F4017))+D13*INT(MAX(F21:F4044)^2)</f>
        <v>59651.183979459005</v>
      </c>
      <c r="E15" s="21"/>
      <c r="G15"/>
      <c r="H15"/>
      <c r="I15"/>
      <c r="J15"/>
      <c r="K15"/>
      <c r="L15"/>
      <c r="M15"/>
      <c r="N15"/>
      <c r="O15"/>
      <c r="P15"/>
      <c r="Q15"/>
      <c r="V15">
        <v>15000</v>
      </c>
      <c r="W15" s="38">
        <f t="shared" si="0"/>
        <v>4.0770773812768696E-3</v>
      </c>
    </row>
    <row r="16" spans="1:23">
      <c r="A16" s="22" t="s">
        <v>7</v>
      </c>
      <c r="B16" s="16"/>
      <c r="C16" s="23">
        <f ca="1">+C8+C12</f>
        <v>0.35825448405473642</v>
      </c>
      <c r="D16" s="34" t="e">
        <f>+C8+D12+2*D13*#REF!</f>
        <v>#REF!</v>
      </c>
      <c r="E16" s="21"/>
      <c r="G16"/>
      <c r="H16"/>
      <c r="I16"/>
      <c r="J16"/>
      <c r="K16"/>
      <c r="L16"/>
      <c r="M16"/>
      <c r="N16"/>
      <c r="O16"/>
      <c r="P16"/>
      <c r="Q16"/>
      <c r="V16">
        <v>20000</v>
      </c>
      <c r="W16" s="38">
        <f t="shared" si="0"/>
        <v>-3.6489206378720676E-3</v>
      </c>
    </row>
    <row r="17" spans="1:23" ht="13.5" thickBot="1">
      <c r="A17" s="20" t="s">
        <v>43</v>
      </c>
      <c r="B17" s="16"/>
      <c r="C17" s="16">
        <f>COUNT(C21:C2166)</f>
        <v>113</v>
      </c>
      <c r="D17" s="20"/>
      <c r="E17" s="24"/>
      <c r="G17"/>
      <c r="H17"/>
      <c r="I17"/>
      <c r="J17"/>
      <c r="K17"/>
      <c r="L17"/>
      <c r="M17"/>
      <c r="N17"/>
      <c r="O17"/>
      <c r="P17"/>
      <c r="Q17"/>
      <c r="V17">
        <v>25000</v>
      </c>
      <c r="W17" s="38">
        <f t="shared" si="0"/>
        <v>-1.7025713409145236E-2</v>
      </c>
    </row>
    <row r="18" spans="1:23" ht="14.25" thickTop="1" thickBot="1">
      <c r="A18" s="22" t="s">
        <v>151</v>
      </c>
      <c r="B18" s="16"/>
      <c r="C18" s="110">
        <f ca="1">+C15</f>
        <v>59651.20829105351</v>
      </c>
      <c r="D18" s="111">
        <f ca="1">+C16</f>
        <v>0.35825448405473642</v>
      </c>
      <c r="E18" s="27"/>
      <c r="G18"/>
      <c r="H18"/>
      <c r="I18"/>
      <c r="J18"/>
      <c r="K18"/>
      <c r="L18"/>
      <c r="M18"/>
      <c r="N18"/>
      <c r="O18"/>
      <c r="P18"/>
      <c r="Q18"/>
      <c r="V18">
        <v>30000</v>
      </c>
      <c r="W18" s="38">
        <f t="shared" si="0"/>
        <v>-3.6053300932542651E-2</v>
      </c>
    </row>
    <row r="19" spans="1:23" ht="13.5" thickBot="1">
      <c r="A19" s="22" t="s">
        <v>152</v>
      </c>
      <c r="C19" s="112">
        <f>+D15</f>
        <v>59651.183979459005</v>
      </c>
      <c r="D19" s="113" t="e">
        <f>+D16</f>
        <v>#REF!</v>
      </c>
      <c r="G19"/>
      <c r="H19"/>
      <c r="I19"/>
      <c r="J19"/>
      <c r="K19"/>
      <c r="L19"/>
      <c r="M19"/>
      <c r="N19"/>
      <c r="O19"/>
      <c r="P19"/>
      <c r="Q19"/>
      <c r="V19">
        <v>35000</v>
      </c>
      <c r="W19" s="38">
        <f t="shared" si="0"/>
        <v>-6.073168320806431E-2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195</v>
      </c>
      <c r="I20" s="8" t="s">
        <v>181</v>
      </c>
      <c r="J20" s="8" t="s">
        <v>179</v>
      </c>
      <c r="K20" s="8" t="s">
        <v>213</v>
      </c>
      <c r="L20" s="8" t="s">
        <v>432</v>
      </c>
      <c r="M20" s="8" t="s">
        <v>433</v>
      </c>
      <c r="N20" s="8" t="s">
        <v>434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  <c r="V20">
        <v>40000</v>
      </c>
      <c r="W20" s="38">
        <f t="shared" si="0"/>
        <v>-9.1060860235710195E-2</v>
      </c>
    </row>
    <row r="21" spans="1:23">
      <c r="A21" s="108" t="s">
        <v>142</v>
      </c>
      <c r="B21" s="4"/>
      <c r="C21" s="14">
        <v>28731.308000000001</v>
      </c>
      <c r="D21" s="14"/>
      <c r="E21" s="168">
        <f t="shared" ref="E21:E52" si="1">+(C21-C$7)/C$8</f>
        <v>-44820.459960737237</v>
      </c>
      <c r="F21" s="169">
        <f t="shared" ref="F21:F28" si="2">ROUND(2*E21,0)/2+1</f>
        <v>-44819.5</v>
      </c>
      <c r="G21" s="9">
        <f t="shared" ref="G21:G52" si="3">+C21-(C$7+F21*C$8)</f>
        <v>-0.34391358500215574</v>
      </c>
      <c r="H21" s="9">
        <f>+G21</f>
        <v>-0.34391358500215574</v>
      </c>
      <c r="P21" s="9">
        <f t="shared" ref="P21:P44" si="4">+D$11+D$12*F21+D$13*F21^2</f>
        <v>-0.34170560653733617</v>
      </c>
      <c r="Q21" s="11">
        <f t="shared" ref="Q21:Q44" si="5">+C21-15018.5</f>
        <v>13712.808000000001</v>
      </c>
      <c r="R21">
        <f t="shared" ref="R21:R44" si="6">+(P21-G21)^2</f>
        <v>4.8751689011069897E-6</v>
      </c>
      <c r="S21">
        <v>0.1</v>
      </c>
      <c r="T21">
        <f t="shared" ref="T21:T44" si="7">S21*R21</f>
        <v>4.8751689011069901E-7</v>
      </c>
      <c r="U21">
        <f>VLOOKUP(C21,'A (3)'!C$41:E$95,3,FALSE)</f>
        <v>-44820.459960737237</v>
      </c>
      <c r="W21" s="38"/>
    </row>
    <row r="22" spans="1:23">
      <c r="A22" s="108" t="s">
        <v>142</v>
      </c>
      <c r="B22" s="4"/>
      <c r="C22" s="14">
        <v>28731.477999999999</v>
      </c>
      <c r="D22" s="14"/>
      <c r="E22" s="163">
        <f t="shared" si="1"/>
        <v>-44819.985442333644</v>
      </c>
      <c r="F22" s="169">
        <f t="shared" si="2"/>
        <v>-44819</v>
      </c>
      <c r="G22" s="9">
        <f t="shared" si="3"/>
        <v>-0.35304257000461803</v>
      </c>
      <c r="H22" s="9">
        <f>+G22</f>
        <v>-0.35304257000461803</v>
      </c>
      <c r="P22" s="9">
        <f t="shared" si="4"/>
        <v>-0.34169933607132097</v>
      </c>
      <c r="Q22" s="11">
        <f t="shared" si="5"/>
        <v>13712.977999999999</v>
      </c>
      <c r="R22">
        <f t="shared" si="6"/>
        <v>1.2866895606550185E-4</v>
      </c>
      <c r="S22">
        <v>0.1</v>
      </c>
      <c r="T22">
        <f t="shared" si="7"/>
        <v>1.2866895606550187E-5</v>
      </c>
      <c r="U22">
        <f>VLOOKUP(C22,'A (3)'!C$41:E$95,3,FALSE)</f>
        <v>-44819.985442333644</v>
      </c>
      <c r="W22" s="38"/>
    </row>
    <row r="23" spans="1:23">
      <c r="A23" s="108" t="s">
        <v>142</v>
      </c>
      <c r="B23" s="4"/>
      <c r="C23" s="14">
        <v>29046.215</v>
      </c>
      <c r="D23" s="14"/>
      <c r="E23" s="163">
        <f t="shared" si="1"/>
        <v>-43941.464861200438</v>
      </c>
      <c r="F23" s="169">
        <f t="shared" si="2"/>
        <v>-43940.5</v>
      </c>
      <c r="G23" s="9">
        <f t="shared" si="3"/>
        <v>-0.34566921500299941</v>
      </c>
      <c r="H23" s="9">
        <f>+G23</f>
        <v>-0.34566921500299941</v>
      </c>
      <c r="P23" s="9">
        <f t="shared" si="4"/>
        <v>-0.33076939832627006</v>
      </c>
      <c r="Q23" s="11">
        <f t="shared" si="5"/>
        <v>14027.715</v>
      </c>
      <c r="R23">
        <f t="shared" si="6"/>
        <v>2.2200453700014204E-4</v>
      </c>
      <c r="S23">
        <v>0.1</v>
      </c>
      <c r="T23">
        <f t="shared" si="7"/>
        <v>2.2200453700014204E-5</v>
      </c>
      <c r="U23">
        <f>VLOOKUP(C23,'A (3)'!C$41:E$95,3,FALSE)</f>
        <v>-43941.464861200438</v>
      </c>
      <c r="W23" s="38"/>
    </row>
    <row r="24" spans="1:23">
      <c r="A24" s="108" t="s">
        <v>142</v>
      </c>
      <c r="B24" s="4"/>
      <c r="C24" s="14">
        <v>29046.404999999999</v>
      </c>
      <c r="D24" s="14"/>
      <c r="E24" s="163">
        <f t="shared" si="1"/>
        <v>-43940.934517102309</v>
      </c>
      <c r="F24" s="169">
        <f t="shared" si="2"/>
        <v>-43940</v>
      </c>
      <c r="G24" s="9">
        <f t="shared" si="3"/>
        <v>-0.33479820000502514</v>
      </c>
      <c r="H24" s="9">
        <f>+G24</f>
        <v>-0.33479820000502514</v>
      </c>
      <c r="P24" s="9">
        <f t="shared" si="4"/>
        <v>-0.33076322720122658</v>
      </c>
      <c r="Q24" s="11">
        <f t="shared" si="5"/>
        <v>14027.904999999999</v>
      </c>
      <c r="R24">
        <f t="shared" si="6"/>
        <v>1.6281005527393957E-5</v>
      </c>
      <c r="S24">
        <v>0.1</v>
      </c>
      <c r="T24">
        <f t="shared" si="7"/>
        <v>1.6281005527393958E-6</v>
      </c>
      <c r="U24">
        <f>VLOOKUP(C24,'A (3)'!C$41:E$95,3,FALSE)</f>
        <v>-43940.934517102309</v>
      </c>
      <c r="W24" s="38"/>
    </row>
    <row r="25" spans="1:23">
      <c r="A25" s="108" t="s">
        <v>31</v>
      </c>
      <c r="B25" s="4"/>
      <c r="C25" s="14">
        <v>29369.184000000001</v>
      </c>
      <c r="D25" s="14"/>
      <c r="E25" s="163">
        <f t="shared" si="1"/>
        <v>-43039.966424194281</v>
      </c>
      <c r="F25" s="169">
        <f t="shared" si="2"/>
        <v>-43039</v>
      </c>
      <c r="G25" s="9">
        <f t="shared" si="3"/>
        <v>-0.34622917000160669</v>
      </c>
      <c r="H25" s="9">
        <f>+G25</f>
        <v>-0.34622917000160669</v>
      </c>
      <c r="P25" s="9">
        <f t="shared" si="4"/>
        <v>-0.31973465720316729</v>
      </c>
      <c r="Q25" s="11">
        <f t="shared" si="5"/>
        <v>14350.684000000001</v>
      </c>
      <c r="R25">
        <f t="shared" si="6"/>
        <v>7.0195920842666898E-4</v>
      </c>
      <c r="S25">
        <v>0.1</v>
      </c>
      <c r="T25">
        <f t="shared" si="7"/>
        <v>7.0195920842666904E-5</v>
      </c>
      <c r="U25">
        <f>VLOOKUP(C25,'A (3)'!C$41:E$95,3,FALSE)</f>
        <v>-43039.966424194281</v>
      </c>
      <c r="W25" s="38"/>
    </row>
    <row r="26" spans="1:23">
      <c r="A26" s="73" t="s">
        <v>124</v>
      </c>
      <c r="B26" s="37" t="s">
        <v>39</v>
      </c>
      <c r="C26" s="76">
        <v>29645.01</v>
      </c>
      <c r="D26" s="76"/>
      <c r="E26" s="163">
        <f t="shared" si="1"/>
        <v>-42270.057523074793</v>
      </c>
      <c r="F26" s="169">
        <f t="shared" si="2"/>
        <v>-42269</v>
      </c>
      <c r="G26" s="9">
        <f t="shared" si="3"/>
        <v>-0.37886607000473305</v>
      </c>
      <c r="H26" s="9">
        <f>G26</f>
        <v>-0.37886607000473305</v>
      </c>
      <c r="O26" s="9">
        <f ca="1">+C$11+C$12*F26</f>
        <v>0.21511297906169299</v>
      </c>
      <c r="P26" s="9">
        <f t="shared" si="4"/>
        <v>-0.31045498934652238</v>
      </c>
      <c r="Q26" s="11">
        <f t="shared" si="5"/>
        <v>14626.509999999998</v>
      </c>
      <c r="R26">
        <f t="shared" si="6"/>
        <v>4.6800759568242055E-3</v>
      </c>
      <c r="S26">
        <v>0.1</v>
      </c>
      <c r="T26">
        <f t="shared" si="7"/>
        <v>4.6800759568242059E-4</v>
      </c>
      <c r="U26">
        <f>VLOOKUP(C26,'A (3)'!C$41:E$95,3,FALSE)</f>
        <v>-42270.057523074793</v>
      </c>
    </row>
    <row r="27" spans="1:23">
      <c r="A27" s="108" t="s">
        <v>142</v>
      </c>
      <c r="B27" s="4"/>
      <c r="C27" s="14">
        <v>30493.286</v>
      </c>
      <c r="D27" s="14"/>
      <c r="E27" s="163">
        <f t="shared" si="1"/>
        <v>-39902.277679963416</v>
      </c>
      <c r="F27" s="169">
        <f t="shared" si="2"/>
        <v>-39901.5</v>
      </c>
      <c r="G27" s="9">
        <f t="shared" si="3"/>
        <v>-0.27861004500300623</v>
      </c>
      <c r="H27" s="9">
        <f t="shared" ref="H27:H33" si="8">+G27</f>
        <v>-0.27861004500300623</v>
      </c>
      <c r="P27" s="9">
        <f t="shared" si="4"/>
        <v>-0.28276250916663576</v>
      </c>
      <c r="Q27" s="11">
        <f t="shared" si="5"/>
        <v>15474.786</v>
      </c>
      <c r="R27">
        <f t="shared" si="6"/>
        <v>1.724295863022742E-5</v>
      </c>
      <c r="S27">
        <v>0.1</v>
      </c>
      <c r="T27">
        <f t="shared" si="7"/>
        <v>1.7242958630227421E-6</v>
      </c>
      <c r="U27">
        <f>VLOOKUP(C27,'A (3)'!C$41:E$95,3,FALSE)</f>
        <v>-39902.277679963416</v>
      </c>
    </row>
    <row r="28" spans="1:23">
      <c r="A28" s="108" t="s">
        <v>142</v>
      </c>
      <c r="B28" s="4"/>
      <c r="C28" s="14">
        <v>30493.473000000002</v>
      </c>
      <c r="D28" s="14"/>
      <c r="E28" s="163">
        <f t="shared" si="1"/>
        <v>-39901.755709719451</v>
      </c>
      <c r="F28" s="169">
        <f t="shared" si="2"/>
        <v>-39901</v>
      </c>
      <c r="G28" s="9">
        <f t="shared" si="3"/>
        <v>-0.27073903000200517</v>
      </c>
      <c r="H28" s="9">
        <f t="shared" si="8"/>
        <v>-0.27073903000200517</v>
      </c>
      <c r="P28" s="9">
        <f t="shared" si="4"/>
        <v>-0.28275679451279234</v>
      </c>
      <c r="Q28" s="11">
        <f t="shared" si="5"/>
        <v>15474.973000000002</v>
      </c>
      <c r="R28">
        <f t="shared" si="6"/>
        <v>1.4442666383673576E-4</v>
      </c>
      <c r="S28">
        <v>0.1</v>
      </c>
      <c r="T28">
        <f t="shared" si="7"/>
        <v>1.4442666383673577E-5</v>
      </c>
      <c r="U28">
        <f>VLOOKUP(C28,'A (3)'!C$41:E$95,3,FALSE)</f>
        <v>-39901.755709719451</v>
      </c>
    </row>
    <row r="29" spans="1:23">
      <c r="A29" s="108" t="s">
        <v>144</v>
      </c>
      <c r="B29" s="4"/>
      <c r="C29" s="14">
        <v>30899.22</v>
      </c>
      <c r="D29" s="14"/>
      <c r="E29" s="163">
        <f t="shared" si="1"/>
        <v>-38769.200305578692</v>
      </c>
      <c r="F29" s="167">
        <f>ROUND(2*E29,0)/2+0.5</f>
        <v>-38768.5</v>
      </c>
      <c r="G29" s="9">
        <f t="shared" si="3"/>
        <v>-0.25089005500194617</v>
      </c>
      <c r="H29" s="9">
        <f t="shared" si="8"/>
        <v>-0.25089005500194617</v>
      </c>
      <c r="P29" s="9">
        <f t="shared" si="4"/>
        <v>-0.26995811679529491</v>
      </c>
      <c r="Q29" s="11">
        <f t="shared" si="5"/>
        <v>15880.720000000001</v>
      </c>
      <c r="R29">
        <f t="shared" si="6"/>
        <v>3.6359098055496617E-4</v>
      </c>
      <c r="S29">
        <v>0.1</v>
      </c>
      <c r="T29">
        <f t="shared" si="7"/>
        <v>3.635909805549662E-5</v>
      </c>
      <c r="U29">
        <f>VLOOKUP(C29,'A (3)'!C$41:E$95,3,FALSE)</f>
        <v>-38769.200305578692</v>
      </c>
    </row>
    <row r="30" spans="1:23">
      <c r="A30" s="108" t="s">
        <v>144</v>
      </c>
      <c r="B30" s="4"/>
      <c r="C30" s="14">
        <v>30899.399000000001</v>
      </c>
      <c r="D30" s="14"/>
      <c r="E30" s="163">
        <f t="shared" si="1"/>
        <v>-38768.700665612552</v>
      </c>
      <c r="F30" s="167">
        <f>ROUND(2*E30,0)/2+0.5</f>
        <v>-38768</v>
      </c>
      <c r="G30" s="9">
        <f t="shared" si="3"/>
        <v>-0.25101904000257491</v>
      </c>
      <c r="H30" s="9">
        <f t="shared" si="8"/>
        <v>-0.25101904000257491</v>
      </c>
      <c r="P30" s="9">
        <f t="shared" si="4"/>
        <v>-0.2699525301884606</v>
      </c>
      <c r="Q30" s="11">
        <f t="shared" si="5"/>
        <v>15880.899000000001</v>
      </c>
      <c r="R30">
        <f t="shared" si="6"/>
        <v>3.5847705061902986E-4</v>
      </c>
      <c r="S30">
        <v>0.1</v>
      </c>
      <c r="T30">
        <f t="shared" si="7"/>
        <v>3.584770506190299E-5</v>
      </c>
      <c r="U30">
        <f>VLOOKUP(C30,'A (3)'!C$41:E$95,3,FALSE)</f>
        <v>-38768.700665612552</v>
      </c>
    </row>
    <row r="31" spans="1:23">
      <c r="A31" s="108" t="s">
        <v>144</v>
      </c>
      <c r="B31" s="4"/>
      <c r="C31" s="14">
        <v>31256.240000000002</v>
      </c>
      <c r="D31" s="14"/>
      <c r="E31" s="10">
        <f t="shared" si="1"/>
        <v>-37772.655832332217</v>
      </c>
      <c r="F31" s="167">
        <f>ROUND(2*E31,0)/2+0.5</f>
        <v>-37772</v>
      </c>
      <c r="G31" s="9">
        <f t="shared" si="3"/>
        <v>-0.23495716000252287</v>
      </c>
      <c r="H31" s="9">
        <f t="shared" si="8"/>
        <v>-0.23495716000252287</v>
      </c>
      <c r="P31" s="9">
        <f t="shared" si="4"/>
        <v>-0.25893617923256851</v>
      </c>
      <c r="Q31" s="11">
        <f t="shared" si="5"/>
        <v>16237.740000000002</v>
      </c>
      <c r="R31">
        <f t="shared" si="6"/>
        <v>5.7499336323489853E-4</v>
      </c>
      <c r="S31">
        <v>0.1</v>
      </c>
      <c r="T31">
        <f t="shared" si="7"/>
        <v>5.7499336323489857E-5</v>
      </c>
      <c r="U31">
        <f>VLOOKUP(C31,'A (3)'!C$41:E$95,3,FALSE)</f>
        <v>-37772.655832332217</v>
      </c>
    </row>
    <row r="32" spans="1:23">
      <c r="A32" s="108" t="s">
        <v>144</v>
      </c>
      <c r="B32" s="4"/>
      <c r="C32" s="14">
        <v>31256.425999999999</v>
      </c>
      <c r="D32" s="14"/>
      <c r="E32" s="10">
        <f t="shared" si="1"/>
        <v>-37772.136653372996</v>
      </c>
      <c r="F32" s="167">
        <f>ROUND(2*E32,0)/2+0.5</f>
        <v>-37771.5</v>
      </c>
      <c r="G32" s="9">
        <f t="shared" si="3"/>
        <v>-0.22808614500172553</v>
      </c>
      <c r="H32" s="9">
        <f t="shared" si="8"/>
        <v>-0.22808614500172553</v>
      </c>
      <c r="P32" s="9">
        <f t="shared" si="4"/>
        <v>-0.25893070524607359</v>
      </c>
      <c r="Q32" s="11">
        <f t="shared" si="5"/>
        <v>16237.925999999999</v>
      </c>
      <c r="R32">
        <f t="shared" si="6"/>
        <v>9.5138689666721707E-4</v>
      </c>
      <c r="S32">
        <v>0.1</v>
      </c>
      <c r="T32">
        <f t="shared" si="7"/>
        <v>9.5138689666721718E-5</v>
      </c>
      <c r="U32">
        <f>VLOOKUP(C32,'A (3)'!C$41:E$95,3,FALSE)</f>
        <v>-37772.136653372996</v>
      </c>
    </row>
    <row r="33" spans="1:22" ht="13.5" thickBot="1">
      <c r="A33" s="109" t="s">
        <v>32</v>
      </c>
      <c r="B33" s="5"/>
      <c r="C33" s="81">
        <v>32337.678</v>
      </c>
      <c r="D33" s="81"/>
      <c r="E33" s="82">
        <f t="shared" si="1"/>
        <v>-34754.054459695624</v>
      </c>
      <c r="F33" s="167">
        <f>ROUND(2*E33,0)/2+0.5</f>
        <v>-34753.5</v>
      </c>
      <c r="G33" s="9">
        <f t="shared" si="3"/>
        <v>-0.19863960500151734</v>
      </c>
      <c r="H33" s="9">
        <f t="shared" si="8"/>
        <v>-0.19863960500151734</v>
      </c>
      <c r="P33" s="9">
        <f t="shared" si="4"/>
        <v>-0.2269192786930424</v>
      </c>
      <c r="Q33" s="11">
        <f t="shared" si="5"/>
        <v>17319.178</v>
      </c>
      <c r="R33">
        <f t="shared" si="6"/>
        <v>7.9973994409913486E-4</v>
      </c>
      <c r="S33">
        <v>0.1</v>
      </c>
      <c r="T33">
        <f t="shared" si="7"/>
        <v>7.9973994409913491E-5</v>
      </c>
      <c r="U33">
        <f>VLOOKUP(C33,'A (3)'!C$41:E$95,3,FALSE)</f>
        <v>-34754.054459695624</v>
      </c>
    </row>
    <row r="34" spans="1:22">
      <c r="A34" s="125" t="s">
        <v>178</v>
      </c>
      <c r="B34" s="126" t="s">
        <v>41</v>
      </c>
      <c r="C34" s="84">
        <v>44366.7353</v>
      </c>
      <c r="D34" s="125" t="s">
        <v>179</v>
      </c>
      <c r="E34" s="163">
        <f t="shared" si="1"/>
        <v>-1177.5305375620837</v>
      </c>
      <c r="F34" s="166">
        <f t="shared" ref="F34:F65" si="9">ROUND(2*E34,0)/2</f>
        <v>-1177.5</v>
      </c>
      <c r="G34" s="165">
        <f t="shared" si="3"/>
        <v>-1.0940325002593454E-2</v>
      </c>
      <c r="H34" s="165"/>
      <c r="J34" s="9">
        <f t="shared" ref="J34:J41" si="10">+G34</f>
        <v>-1.0940325002593454E-2</v>
      </c>
      <c r="O34" s="9">
        <f t="shared" ref="O34:O44" ca="1" si="11">+C$11+C$12*F34</f>
        <v>7.1870259263278904E-2</v>
      </c>
      <c r="P34" s="9">
        <f t="shared" si="4"/>
        <v>-9.6445893597763357E-3</v>
      </c>
      <c r="Q34" s="11">
        <f t="shared" si="5"/>
        <v>29348.2353</v>
      </c>
      <c r="R34">
        <f t="shared" si="6"/>
        <v>1.6789308560666906E-6</v>
      </c>
      <c r="S34">
        <v>1</v>
      </c>
      <c r="T34">
        <f t="shared" si="7"/>
        <v>1.6789308560666906E-6</v>
      </c>
      <c r="U34">
        <f>VLOOKUP(C34,'A (3)'!C$41:E$95,3,FALSE)</f>
        <v>-1177.5305375620837</v>
      </c>
      <c r="V34" s="84">
        <v>44366.7353</v>
      </c>
    </row>
    <row r="35" spans="1:22">
      <c r="A35" s="125" t="s">
        <v>178</v>
      </c>
      <c r="B35" s="126" t="s">
        <v>41</v>
      </c>
      <c r="C35" s="84">
        <v>44408.6512</v>
      </c>
      <c r="D35" s="125" t="s">
        <v>179</v>
      </c>
      <c r="E35" s="163">
        <f t="shared" si="1"/>
        <v>-1060.5313260721064</v>
      </c>
      <c r="F35" s="166">
        <f t="shared" si="9"/>
        <v>-1060.5</v>
      </c>
      <c r="G35" s="165">
        <f t="shared" si="3"/>
        <v>-1.1222815002838615E-2</v>
      </c>
      <c r="H35" s="165"/>
      <c r="J35" s="9">
        <f t="shared" si="10"/>
        <v>-1.1222815002838615E-2</v>
      </c>
      <c r="O35" s="9">
        <f t="shared" ca="1" si="11"/>
        <v>7.146240366744E-2</v>
      </c>
      <c r="P35" s="9">
        <f t="shared" si="4"/>
        <v>-9.3329848631721508E-3</v>
      </c>
      <c r="Q35" s="11">
        <f t="shared" si="5"/>
        <v>29390.1512</v>
      </c>
      <c r="R35">
        <f t="shared" si="6"/>
        <v>3.5714579567917687E-6</v>
      </c>
      <c r="S35">
        <v>1</v>
      </c>
      <c r="T35">
        <f t="shared" si="7"/>
        <v>3.5714579567917687E-6</v>
      </c>
      <c r="U35">
        <f>VLOOKUP(C35,'A (3)'!C$41:E$95,3,FALSE)</f>
        <v>-1060.5313260721064</v>
      </c>
      <c r="V35" s="84">
        <v>44408.6512</v>
      </c>
    </row>
    <row r="36" spans="1:22">
      <c r="A36" s="125" t="s">
        <v>178</v>
      </c>
      <c r="B36" s="126" t="s">
        <v>41</v>
      </c>
      <c r="C36" s="84">
        <v>44698.845500000003</v>
      </c>
      <c r="D36" s="125" t="s">
        <v>179</v>
      </c>
      <c r="E36" s="163">
        <f t="shared" si="1"/>
        <v>-250.51640860913182</v>
      </c>
      <c r="F36" s="166">
        <f t="shared" si="9"/>
        <v>-250.5</v>
      </c>
      <c r="G36" s="165">
        <f t="shared" si="3"/>
        <v>-5.8785149958566763E-3</v>
      </c>
      <c r="H36" s="165"/>
      <c r="J36" s="9">
        <f t="shared" si="10"/>
        <v>-5.8785149958566763E-3</v>
      </c>
      <c r="O36" s="9">
        <f t="shared" ca="1" si="11"/>
        <v>6.8638788003939868E-2</v>
      </c>
      <c r="P36" s="9">
        <f t="shared" si="4"/>
        <v>-7.2605832087152709E-3</v>
      </c>
      <c r="Q36" s="11">
        <f t="shared" si="5"/>
        <v>29680.345500000003</v>
      </c>
      <c r="R36">
        <f t="shared" si="6"/>
        <v>1.9101125449941498E-6</v>
      </c>
      <c r="S36">
        <v>1</v>
      </c>
      <c r="T36">
        <f t="shared" si="7"/>
        <v>1.9101125449941498E-6</v>
      </c>
      <c r="U36">
        <f>VLOOKUP(C36,'A (3)'!C$41:E$95,3,FALSE)</f>
        <v>-250.51640860913182</v>
      </c>
      <c r="V36" s="84">
        <v>44698.845500000003</v>
      </c>
    </row>
    <row r="37" spans="1:22">
      <c r="A37" s="125" t="s">
        <v>178</v>
      </c>
      <c r="B37" s="126" t="s">
        <v>39</v>
      </c>
      <c r="C37" s="84">
        <v>44787.515200000002</v>
      </c>
      <c r="D37" s="125" t="s">
        <v>179</v>
      </c>
      <c r="E37" s="163">
        <f t="shared" si="1"/>
        <v>-3.0140292482523772</v>
      </c>
      <c r="F37" s="166">
        <f t="shared" si="9"/>
        <v>-3</v>
      </c>
      <c r="G37" s="165">
        <f t="shared" si="3"/>
        <v>-5.0260900025023147E-3</v>
      </c>
      <c r="H37" s="165"/>
      <c r="J37" s="9">
        <f t="shared" si="10"/>
        <v>-5.0260900025023147E-3</v>
      </c>
      <c r="O37" s="9">
        <f t="shared" ca="1" si="11"/>
        <v>6.777601655120373E-2</v>
      </c>
      <c r="P37" s="9">
        <f t="shared" si="4"/>
        <v>-6.6569291613327837E-3</v>
      </c>
      <c r="Q37" s="11">
        <f t="shared" si="5"/>
        <v>29769.015200000002</v>
      </c>
      <c r="R37">
        <f t="shared" si="6"/>
        <v>2.6596363619748718E-6</v>
      </c>
      <c r="S37">
        <v>1</v>
      </c>
      <c r="T37">
        <f t="shared" si="7"/>
        <v>2.6596363619748718E-6</v>
      </c>
      <c r="U37">
        <f>VLOOKUP(C37,'A (3)'!C$41:E$95,3,FALSE)</f>
        <v>-3.0140292482523772</v>
      </c>
      <c r="V37" s="84">
        <v>44787.515200000002</v>
      </c>
    </row>
    <row r="38" spans="1:22">
      <c r="A38" s="125" t="s">
        <v>178</v>
      </c>
      <c r="B38" s="126" t="s">
        <v>39</v>
      </c>
      <c r="C38" s="84">
        <v>44788.59</v>
      </c>
      <c r="D38" s="125" t="s">
        <v>179</v>
      </c>
      <c r="E38" s="163">
        <f t="shared" si="1"/>
        <v>-1.3956423648179029E-2</v>
      </c>
      <c r="F38" s="166">
        <f t="shared" si="9"/>
        <v>0</v>
      </c>
      <c r="G38" s="165">
        <f t="shared" si="3"/>
        <v>-5.0000000046566129E-3</v>
      </c>
      <c r="H38" s="165"/>
      <c r="J38" s="9">
        <f t="shared" si="10"/>
        <v>-5.0000000046566129E-3</v>
      </c>
      <c r="O38" s="9">
        <f t="shared" ca="1" si="11"/>
        <v>6.7765558715412982E-2</v>
      </c>
      <c r="P38" s="9">
        <f t="shared" si="4"/>
        <v>-6.649697074021757E-3</v>
      </c>
      <c r="Q38" s="11">
        <f t="shared" si="5"/>
        <v>29770.089999999997</v>
      </c>
      <c r="R38">
        <f t="shared" si="6"/>
        <v>2.7215004206719453E-6</v>
      </c>
      <c r="S38">
        <v>1</v>
      </c>
      <c r="T38">
        <f t="shared" si="7"/>
        <v>2.7215004206719453E-6</v>
      </c>
      <c r="U38">
        <f>VLOOKUP(C38,'A (3)'!C$41:E$95,3,FALSE)</f>
        <v>-1.3956423648179029E-2</v>
      </c>
      <c r="V38" s="84">
        <v>44788.59</v>
      </c>
    </row>
    <row r="39" spans="1:22">
      <c r="A39" s="125" t="s">
        <v>178</v>
      </c>
      <c r="B39" s="126" t="s">
        <v>39</v>
      </c>
      <c r="C39" s="84">
        <v>44789.665099999998</v>
      </c>
      <c r="D39" s="125" t="s">
        <v>179</v>
      </c>
      <c r="E39" s="163">
        <f t="shared" si="1"/>
        <v>2.9869537863935944</v>
      </c>
      <c r="F39" s="166">
        <f t="shared" si="9"/>
        <v>3</v>
      </c>
      <c r="G39" s="165">
        <f t="shared" si="3"/>
        <v>-4.6739099998376332E-3</v>
      </c>
      <c r="H39" s="165"/>
      <c r="J39" s="9">
        <f t="shared" si="10"/>
        <v>-4.6739099998376332E-3</v>
      </c>
      <c r="O39" s="9">
        <f t="shared" ca="1" si="11"/>
        <v>6.7755100879622235E-2</v>
      </c>
      <c r="P39" s="9">
        <f t="shared" si="4"/>
        <v>-6.6424670209968414E-3</v>
      </c>
      <c r="Q39" s="11">
        <f t="shared" si="5"/>
        <v>29771.165099999998</v>
      </c>
      <c r="R39">
        <f t="shared" si="6"/>
        <v>3.8752167455552155E-6</v>
      </c>
      <c r="S39">
        <v>1</v>
      </c>
      <c r="T39">
        <f t="shared" si="7"/>
        <v>3.8752167455552155E-6</v>
      </c>
      <c r="U39">
        <f>VLOOKUP(C39,'A (3)'!C$41:E$95,3,FALSE)</f>
        <v>2.9869537863935944</v>
      </c>
      <c r="V39" s="84">
        <v>44789.665099999998</v>
      </c>
    </row>
    <row r="40" spans="1:22">
      <c r="A40" s="125" t="s">
        <v>178</v>
      </c>
      <c r="B40" s="126" t="s">
        <v>41</v>
      </c>
      <c r="C40" s="84">
        <v>44790.560299999997</v>
      </c>
      <c r="D40" s="125" t="s">
        <v>179</v>
      </c>
      <c r="E40" s="163">
        <f t="shared" si="1"/>
        <v>5.4857118740336883</v>
      </c>
      <c r="F40" s="166">
        <f t="shared" si="9"/>
        <v>5.5</v>
      </c>
      <c r="G40" s="165">
        <f t="shared" si="3"/>
        <v>-5.1188350043958053E-3</v>
      </c>
      <c r="H40" s="165"/>
      <c r="J40" s="9">
        <f t="shared" si="10"/>
        <v>-5.1188350043958053E-3</v>
      </c>
      <c r="O40" s="9">
        <f t="shared" ca="1" si="11"/>
        <v>6.7746386016463295E-2</v>
      </c>
      <c r="P40" s="9">
        <f t="shared" si="4"/>
        <v>-6.6364435307779681E-3</v>
      </c>
      <c r="Q40" s="11">
        <f t="shared" si="5"/>
        <v>29772.060299999997</v>
      </c>
      <c r="R40">
        <f t="shared" si="6"/>
        <v>2.3031356393478398E-6</v>
      </c>
      <c r="S40">
        <v>1</v>
      </c>
      <c r="T40">
        <f t="shared" si="7"/>
        <v>2.3031356393478398E-6</v>
      </c>
      <c r="U40">
        <f>VLOOKUP(C40,'A (3)'!C$41:E$95,3,FALSE)</f>
        <v>5.4857118740336883</v>
      </c>
      <c r="V40" s="84">
        <v>44790.560299999997</v>
      </c>
    </row>
    <row r="41" spans="1:22">
      <c r="A41" s="125" t="s">
        <v>178</v>
      </c>
      <c r="B41" s="126" t="s">
        <v>41</v>
      </c>
      <c r="C41" s="125">
        <v>44790.560299999997</v>
      </c>
      <c r="D41" s="125" t="s">
        <v>179</v>
      </c>
      <c r="E41" s="163">
        <f t="shared" si="1"/>
        <v>5.4857118740336883</v>
      </c>
      <c r="F41" s="166">
        <f t="shared" si="9"/>
        <v>5.5</v>
      </c>
      <c r="G41" s="165">
        <f t="shared" si="3"/>
        <v>-5.1188350043958053E-3</v>
      </c>
      <c r="H41" s="165"/>
      <c r="J41" s="9">
        <f t="shared" si="10"/>
        <v>-5.1188350043958053E-3</v>
      </c>
      <c r="O41" s="9">
        <f t="shared" ca="1" si="11"/>
        <v>6.7746386016463295E-2</v>
      </c>
      <c r="P41" s="9">
        <f t="shared" si="4"/>
        <v>-6.6364435307779681E-3</v>
      </c>
      <c r="Q41" s="11">
        <f t="shared" si="5"/>
        <v>29772.060299999997</v>
      </c>
      <c r="R41">
        <f t="shared" si="6"/>
        <v>2.3031356393478398E-6</v>
      </c>
      <c r="S41">
        <v>1</v>
      </c>
      <c r="T41">
        <f t="shared" si="7"/>
        <v>2.3031356393478398E-6</v>
      </c>
      <c r="U41">
        <f>VLOOKUP(C41,'A (3)'!C$41:E$95,3,FALSE)</f>
        <v>5.4857118740336883</v>
      </c>
    </row>
    <row r="42" spans="1:22">
      <c r="A42" s="127" t="s">
        <v>156</v>
      </c>
      <c r="B42" s="128"/>
      <c r="C42" s="129">
        <v>48085.46</v>
      </c>
      <c r="D42" s="129" t="s">
        <v>181</v>
      </c>
      <c r="E42" s="163">
        <f t="shared" si="1"/>
        <v>9202.4889216002593</v>
      </c>
      <c r="F42" s="166">
        <f t="shared" si="9"/>
        <v>9202.5</v>
      </c>
      <c r="G42" s="165">
        <f t="shared" si="3"/>
        <v>-3.968925004301127E-3</v>
      </c>
      <c r="H42" s="165"/>
      <c r="I42" s="9">
        <f>+G42</f>
        <v>-3.968925004301127E-3</v>
      </c>
      <c r="O42" s="9">
        <f t="shared" ca="1" si="11"/>
        <v>3.5686147427314331E-2</v>
      </c>
      <c r="P42" s="9">
        <f t="shared" si="4"/>
        <v>5.9607458723137333E-3</v>
      </c>
      <c r="Q42" s="11">
        <f t="shared" si="5"/>
        <v>33066.959999999999</v>
      </c>
      <c r="R42">
        <f t="shared" si="6"/>
        <v>9.8598363717893335E-5</v>
      </c>
      <c r="S42">
        <v>0.1</v>
      </c>
      <c r="T42">
        <f t="shared" si="7"/>
        <v>9.8598363717893338E-6</v>
      </c>
      <c r="U42">
        <f>VLOOKUP(C42,'A (3)'!C$41:E$95,3,FALSE)</f>
        <v>9202.4889216002593</v>
      </c>
    </row>
    <row r="43" spans="1:22">
      <c r="A43" s="77" t="s">
        <v>156</v>
      </c>
      <c r="B43" s="74"/>
      <c r="C43" s="78">
        <v>48094.417999999998</v>
      </c>
      <c r="D43" s="78" t="s">
        <v>181</v>
      </c>
      <c r="E43" s="163">
        <f t="shared" si="1"/>
        <v>9227.4932501850471</v>
      </c>
      <c r="F43" s="166">
        <f t="shared" si="9"/>
        <v>9227.5</v>
      </c>
      <c r="G43" s="165">
        <f t="shared" si="3"/>
        <v>-2.4181750050047413E-3</v>
      </c>
      <c r="H43" s="165"/>
      <c r="I43" s="9">
        <f>+G43</f>
        <v>-2.4181750050047413E-3</v>
      </c>
      <c r="O43" s="9">
        <f t="shared" ca="1" si="11"/>
        <v>3.5598998795724819E-2</v>
      </c>
      <c r="P43" s="9">
        <f t="shared" si="4"/>
        <v>5.9689327167393377E-3</v>
      </c>
      <c r="Q43" s="11">
        <f t="shared" si="5"/>
        <v>33075.917999999998</v>
      </c>
      <c r="R43">
        <f t="shared" si="6"/>
        <v>7.0343575936139153E-5</v>
      </c>
      <c r="S43">
        <v>0.1</v>
      </c>
      <c r="T43">
        <f t="shared" si="7"/>
        <v>7.0343575936139157E-6</v>
      </c>
      <c r="U43">
        <f>VLOOKUP(C43,'A (3)'!C$41:E$95,3,FALSE)</f>
        <v>9227.4932501850471</v>
      </c>
    </row>
    <row r="44" spans="1:22">
      <c r="A44" s="77" t="s">
        <v>156</v>
      </c>
      <c r="B44" s="74"/>
      <c r="C44" s="78">
        <v>48122.360999999997</v>
      </c>
      <c r="D44" s="78" t="s">
        <v>181</v>
      </c>
      <c r="E44" s="163">
        <f t="shared" si="1"/>
        <v>9305.490119312617</v>
      </c>
      <c r="F44" s="166">
        <f t="shared" si="9"/>
        <v>9305.5</v>
      </c>
      <c r="G44" s="165">
        <f t="shared" si="3"/>
        <v>-3.5398350009927526E-3</v>
      </c>
      <c r="H44" s="165"/>
      <c r="I44" s="9">
        <f>+G44</f>
        <v>-3.5398350009927526E-3</v>
      </c>
      <c r="O44" s="9">
        <f t="shared" ca="1" si="11"/>
        <v>3.5327095065165549E-2</v>
      </c>
      <c r="P44" s="9">
        <f t="shared" si="4"/>
        <v>5.993567701646451E-3</v>
      </c>
      <c r="Q44" s="11">
        <f t="shared" si="5"/>
        <v>33103.860999999997</v>
      </c>
      <c r="R44">
        <f t="shared" si="6"/>
        <v>9.0885767090688476E-5</v>
      </c>
      <c r="S44">
        <v>0.1</v>
      </c>
      <c r="T44">
        <f t="shared" si="7"/>
        <v>9.0885767090688483E-6</v>
      </c>
      <c r="U44">
        <f>VLOOKUP(C44,'A (3)'!C$41:E$95,3,FALSE)</f>
        <v>9305.490119312617</v>
      </c>
    </row>
    <row r="45" spans="1:22">
      <c r="A45" t="s">
        <v>129</v>
      </c>
      <c r="B45" s="4"/>
      <c r="C45" s="85">
        <v>48336.621099999997</v>
      </c>
      <c r="D45" s="14"/>
      <c r="E45" s="10">
        <f t="shared" si="1"/>
        <v>9903.5510640558696</v>
      </c>
      <c r="F45">
        <f t="shared" si="9"/>
        <v>9903.5</v>
      </c>
      <c r="G45" s="9">
        <f t="shared" si="3"/>
        <v>1.8294104993401561E-2</v>
      </c>
      <c r="J45" s="9">
        <f>+G45</f>
        <v>1.8294104993401561E-2</v>
      </c>
    </row>
    <row r="46" spans="1:22">
      <c r="A46" s="28" t="s">
        <v>184</v>
      </c>
      <c r="B46" s="74" t="s">
        <v>41</v>
      </c>
      <c r="C46" s="75">
        <v>48500.337</v>
      </c>
      <c r="D46" s="75">
        <v>1E-4</v>
      </c>
      <c r="E46" s="163">
        <f t="shared" si="1"/>
        <v>10360.528755298867</v>
      </c>
      <c r="F46" s="166">
        <f t="shared" si="9"/>
        <v>10360.5</v>
      </c>
      <c r="G46" s="165">
        <f t="shared" si="3"/>
        <v>1.0301814996637404E-2</v>
      </c>
      <c r="H46" s="165"/>
      <c r="K46" s="9">
        <f>+G46</f>
        <v>1.0301814996637404E-2</v>
      </c>
      <c r="O46" s="9">
        <f ca="1">+C$11+C$12*F46</f>
        <v>3.1649422812088226E-2</v>
      </c>
      <c r="P46" s="9">
        <f>+D$11+D$12*F46+D$13*F46^2</f>
        <v>6.1916820695894683E-3</v>
      </c>
      <c r="Q46" s="11">
        <f>+C46-15018.5</f>
        <v>33481.837</v>
      </c>
      <c r="R46">
        <f>+(P46-G46)^2</f>
        <v>1.6893192678003631E-5</v>
      </c>
      <c r="S46">
        <v>1</v>
      </c>
      <c r="T46">
        <f>S46*R46</f>
        <v>1.6893192678003631E-5</v>
      </c>
      <c r="U46">
        <f>VLOOKUP(C46,'A (3)'!C$41:E$95,3,FALSE)</f>
        <v>10360.528755298867</v>
      </c>
    </row>
    <row r="47" spans="1:22">
      <c r="A47" t="s">
        <v>130</v>
      </c>
      <c r="B47" s="4"/>
      <c r="C47" s="85">
        <v>51091.429700000001</v>
      </c>
      <c r="D47" s="14"/>
      <c r="E47" s="10">
        <f t="shared" si="1"/>
        <v>17593.006235143908</v>
      </c>
      <c r="F47">
        <f t="shared" si="9"/>
        <v>17593</v>
      </c>
      <c r="G47" s="9">
        <f t="shared" si="3"/>
        <v>2.2337900009006262E-3</v>
      </c>
      <c r="K47" s="9">
        <f>+G47</f>
        <v>2.2337900009006262E-3</v>
      </c>
    </row>
    <row r="48" spans="1:22">
      <c r="A48" s="140" t="s">
        <v>298</v>
      </c>
      <c r="B48" s="141" t="s">
        <v>39</v>
      </c>
      <c r="C48" s="142">
        <v>51306.023000000001</v>
      </c>
      <c r="D48" s="196" t="s">
        <v>181</v>
      </c>
      <c r="E48" s="163">
        <f t="shared" si="1"/>
        <v>18191.997235958213</v>
      </c>
      <c r="F48" s="166">
        <f t="shared" si="9"/>
        <v>18192</v>
      </c>
      <c r="G48" s="165">
        <f t="shared" si="3"/>
        <v>-9.902399979182519E-4</v>
      </c>
      <c r="K48" s="9">
        <f>+G48</f>
        <v>-9.902399979182519E-4</v>
      </c>
      <c r="O48" s="9">
        <f t="shared" ref="O48:O79" ca="1" si="12">+C$11+C$12*F48</f>
        <v>4.3492424803583118E-3</v>
      </c>
      <c r="P48" s="9">
        <f t="shared" ref="P48:P79" si="13">+D$11+D$12*F48+D$13*F48^2</f>
        <v>-2.0296965369590719E-4</v>
      </c>
      <c r="Q48" s="11">
        <f t="shared" ref="Q48:Q79" si="14">+C48-15018.5</f>
        <v>36287.523000000001</v>
      </c>
      <c r="R48">
        <f t="shared" ref="R48:R79" si="15">+(P48-G48)^2</f>
        <v>6.1979459489196917E-7</v>
      </c>
      <c r="S48">
        <v>1</v>
      </c>
      <c r="T48">
        <f t="shared" ref="T48:T79" si="16">S48*R48</f>
        <v>6.1979459489196917E-7</v>
      </c>
      <c r="U48" t="e">
        <f>VLOOKUP(C48,'A (3)'!C$41:E$95,3,FALSE)</f>
        <v>#N/A</v>
      </c>
    </row>
    <row r="49" spans="1:23">
      <c r="A49" s="140" t="s">
        <v>298</v>
      </c>
      <c r="B49" s="141" t="s">
        <v>39</v>
      </c>
      <c r="C49" s="142">
        <v>51311.042999999998</v>
      </c>
      <c r="D49" s="196" t="s">
        <v>181</v>
      </c>
      <c r="E49" s="163">
        <f t="shared" si="1"/>
        <v>18206.009485287927</v>
      </c>
      <c r="F49" s="166">
        <f t="shared" si="9"/>
        <v>18206</v>
      </c>
      <c r="G49" s="165">
        <f t="shared" si="3"/>
        <v>3.3981800006586127E-3</v>
      </c>
      <c r="K49" s="9">
        <f>+G49</f>
        <v>3.3981800006586127E-3</v>
      </c>
      <c r="O49" s="9">
        <f t="shared" ca="1" si="12"/>
        <v>4.3004392466681751E-3</v>
      </c>
      <c r="P49" s="9">
        <f t="shared" si="13"/>
        <v>-2.2681439524729202E-4</v>
      </c>
      <c r="Q49" s="11">
        <f t="shared" si="14"/>
        <v>36292.542999999998</v>
      </c>
      <c r="R49">
        <f t="shared" si="15"/>
        <v>1.3140584370349215E-5</v>
      </c>
      <c r="S49">
        <v>1</v>
      </c>
      <c r="T49">
        <f t="shared" si="16"/>
        <v>1.3140584370349215E-5</v>
      </c>
      <c r="U49" t="e">
        <f>VLOOKUP(C49,'A (3)'!C$41:E$95,3,FALSE)</f>
        <v>#N/A</v>
      </c>
    </row>
    <row r="50" spans="1:23">
      <c r="A50" s="28" t="s">
        <v>42</v>
      </c>
      <c r="B50" s="74" t="s">
        <v>39</v>
      </c>
      <c r="C50" s="75">
        <v>51314.614999999998</v>
      </c>
      <c r="D50" s="75">
        <v>2E-3</v>
      </c>
      <c r="E50" s="10">
        <f t="shared" si="1"/>
        <v>18215.979954332899</v>
      </c>
      <c r="F50">
        <f t="shared" si="9"/>
        <v>18216</v>
      </c>
      <c r="G50" s="9">
        <f t="shared" si="3"/>
        <v>-7.1815199989941902E-3</v>
      </c>
      <c r="H50" s="9">
        <f>+G50</f>
        <v>-7.1815199989941902E-3</v>
      </c>
      <c r="O50" s="9">
        <f t="shared" ca="1" si="12"/>
        <v>4.2655797940323731E-3</v>
      </c>
      <c r="P50" s="9">
        <f t="shared" si="13"/>
        <v>-2.4387347731309739E-4</v>
      </c>
      <c r="Q50" s="11">
        <f t="shared" si="14"/>
        <v>36296.114999999998</v>
      </c>
      <c r="R50">
        <f t="shared" si="15"/>
        <v>4.8130939259793764E-5</v>
      </c>
      <c r="S50">
        <v>0.4</v>
      </c>
      <c r="T50">
        <f t="shared" si="16"/>
        <v>1.9252375703917505E-5</v>
      </c>
      <c r="U50">
        <f>VLOOKUP(C50,'A (3)'!C$41:E$95,3,FALSE)</f>
        <v>18215.979954332899</v>
      </c>
    </row>
    <row r="51" spans="1:23">
      <c r="A51" s="140" t="s">
        <v>298</v>
      </c>
      <c r="B51" s="141" t="s">
        <v>39</v>
      </c>
      <c r="C51" s="142">
        <v>51316.063999999998</v>
      </c>
      <c r="D51" s="196" t="s">
        <v>181</v>
      </c>
      <c r="E51" s="10">
        <f t="shared" si="1"/>
        <v>18220.024525902376</v>
      </c>
      <c r="F51">
        <f t="shared" si="9"/>
        <v>18220</v>
      </c>
      <c r="G51" s="9">
        <f t="shared" si="3"/>
        <v>8.7865999958012253E-3</v>
      </c>
      <c r="K51" s="9">
        <f>+G51</f>
        <v>8.7865999958012253E-3</v>
      </c>
      <c r="O51" s="9">
        <f t="shared" ca="1" si="12"/>
        <v>4.2516360129780523E-3</v>
      </c>
      <c r="P51" s="9">
        <f t="shared" si="13"/>
        <v>-2.5070343902953984E-4</v>
      </c>
      <c r="Q51" s="11">
        <f t="shared" si="14"/>
        <v>36297.563999999998</v>
      </c>
      <c r="R51">
        <f t="shared" si="15"/>
        <v>8.1672853373203943E-5</v>
      </c>
      <c r="S51">
        <v>1</v>
      </c>
      <c r="T51">
        <f t="shared" si="16"/>
        <v>8.1672853373203943E-5</v>
      </c>
      <c r="U51" t="e">
        <f>VLOOKUP(C51,'A (3)'!C$41:E$95,3,FALSE)</f>
        <v>#N/A</v>
      </c>
    </row>
    <row r="52" spans="1:23">
      <c r="A52" s="140" t="s">
        <v>298</v>
      </c>
      <c r="B52" s="141" t="s">
        <v>39</v>
      </c>
      <c r="C52" s="142">
        <v>51331.101000000002</v>
      </c>
      <c r="D52" s="196" t="s">
        <v>181</v>
      </c>
      <c r="E52" s="10">
        <f t="shared" si="1"/>
        <v>18261.997074342831</v>
      </c>
      <c r="F52">
        <f t="shared" si="9"/>
        <v>18262</v>
      </c>
      <c r="G52" s="9">
        <f t="shared" si="3"/>
        <v>-1.0481400022399612E-3</v>
      </c>
      <c r="K52" s="9">
        <f>+G52</f>
        <v>-1.0481400022399612E-3</v>
      </c>
      <c r="O52" s="9">
        <f t="shared" ca="1" si="12"/>
        <v>4.1052263119076837E-3</v>
      </c>
      <c r="P52" s="9">
        <f t="shared" si="13"/>
        <v>-3.2263638376141268E-4</v>
      </c>
      <c r="Q52" s="11">
        <f t="shared" si="14"/>
        <v>36312.601000000002</v>
      </c>
      <c r="R52">
        <f t="shared" si="15"/>
        <v>5.2635550042546729E-7</v>
      </c>
      <c r="S52">
        <v>1</v>
      </c>
      <c r="T52">
        <f t="shared" si="16"/>
        <v>5.2635550042546729E-7</v>
      </c>
      <c r="U52" t="e">
        <f>VLOOKUP(C52,'A (3)'!C$41:E$95,3,FALSE)</f>
        <v>#N/A</v>
      </c>
    </row>
    <row r="53" spans="1:23">
      <c r="A53" s="77" t="s">
        <v>42</v>
      </c>
      <c r="B53" s="74" t="s">
        <v>39</v>
      </c>
      <c r="C53" s="78">
        <v>51338.803819784996</v>
      </c>
      <c r="D53" s="78"/>
      <c r="E53" s="10">
        <f t="shared" ref="E53:E84" si="17">+(C53-C$7)/C$8</f>
        <v>18283.497837563798</v>
      </c>
      <c r="F53">
        <f t="shared" si="9"/>
        <v>18283.5</v>
      </c>
      <c r="G53" s="9">
        <f t="shared" ref="G53:G84" si="18">+C53-(C$7+F53*C$8)</f>
        <v>-7.7471000258810818E-4</v>
      </c>
      <c r="H53" s="9">
        <f>G53</f>
        <v>-7.7471000258810818E-4</v>
      </c>
      <c r="O53" s="9">
        <f t="shared" ca="1" si="12"/>
        <v>4.0302784887406989E-3</v>
      </c>
      <c r="P53" s="9">
        <f t="shared" si="13"/>
        <v>-3.5961349565820366E-4</v>
      </c>
      <c r="Q53" s="11">
        <f t="shared" si="14"/>
        <v>36320.303819784996</v>
      </c>
      <c r="R53">
        <f t="shared" si="15"/>
        <v>1.7230511006540826E-7</v>
      </c>
      <c r="S53">
        <v>0.1</v>
      </c>
      <c r="T53">
        <f t="shared" si="16"/>
        <v>1.7230511006540828E-8</v>
      </c>
      <c r="U53">
        <f>VLOOKUP(C53,'A (3)'!C$41:E$95,3,FALSE)</f>
        <v>18283.497837563798</v>
      </c>
    </row>
    <row r="54" spans="1:23">
      <c r="A54" s="28" t="s">
        <v>42</v>
      </c>
      <c r="B54" s="74" t="s">
        <v>39</v>
      </c>
      <c r="C54" s="75">
        <v>51615.201000000001</v>
      </c>
      <c r="D54" s="75">
        <v>2E-3</v>
      </c>
      <c r="E54" s="10">
        <f t="shared" si="17"/>
        <v>19055.001065293818</v>
      </c>
      <c r="F54">
        <f t="shared" si="9"/>
        <v>19055</v>
      </c>
      <c r="G54" s="9">
        <f t="shared" si="18"/>
        <v>3.8165000296430662E-4</v>
      </c>
      <c r="H54" s="9">
        <f>+G54</f>
        <v>3.8165000296430662E-4</v>
      </c>
      <c r="O54" s="9">
        <f t="shared" ca="1" si="12"/>
        <v>1.3408717178884227E-3</v>
      </c>
      <c r="P54" s="9">
        <f t="shared" si="13"/>
        <v>-1.7556329278474933E-3</v>
      </c>
      <c r="Q54" s="11">
        <f t="shared" si="14"/>
        <v>36596.701000000001</v>
      </c>
      <c r="R54">
        <f t="shared" si="15"/>
        <v>4.5679783263394769E-6</v>
      </c>
      <c r="S54">
        <v>0.4</v>
      </c>
      <c r="T54">
        <f t="shared" si="16"/>
        <v>1.8271913305357908E-6</v>
      </c>
      <c r="U54">
        <f>VLOOKUP(C54,'A (3)'!C$41:E$95,3,FALSE)</f>
        <v>19055.001065293818</v>
      </c>
    </row>
    <row r="55" spans="1:23">
      <c r="A55" s="77" t="s">
        <v>38</v>
      </c>
      <c r="B55" s="74" t="s">
        <v>39</v>
      </c>
      <c r="C55" s="78">
        <v>52016.981609549999</v>
      </c>
      <c r="D55" s="78"/>
      <c r="E55" s="10">
        <f t="shared" si="17"/>
        <v>20176.48514435003</v>
      </c>
      <c r="F55">
        <f t="shared" si="9"/>
        <v>20176.5</v>
      </c>
      <c r="G55" s="9">
        <f t="shared" si="18"/>
        <v>-5.322155004250817E-3</v>
      </c>
      <c r="K55" s="9">
        <f>G55</f>
        <v>-5.322155004250817E-3</v>
      </c>
      <c r="O55" s="9">
        <f t="shared" ca="1" si="12"/>
        <v>-2.5686158952170079E-3</v>
      </c>
      <c r="P55" s="9">
        <f t="shared" si="13"/>
        <v>-4.0249055947393572E-3</v>
      </c>
      <c r="Q55" s="11">
        <f t="shared" si="14"/>
        <v>36998.481609549999</v>
      </c>
      <c r="R55">
        <f t="shared" si="15"/>
        <v>1.6828560304778312E-6</v>
      </c>
      <c r="S55">
        <v>0.1</v>
      </c>
      <c r="T55">
        <f t="shared" si="16"/>
        <v>1.6828560304778313E-7</v>
      </c>
      <c r="U55">
        <f>VLOOKUP(C55,'A (3)'!C$41:E$95,3,FALSE)</f>
        <v>20176.48514435003</v>
      </c>
    </row>
    <row r="56" spans="1:23">
      <c r="A56" s="28" t="s">
        <v>38</v>
      </c>
      <c r="B56" s="74" t="s">
        <v>39</v>
      </c>
      <c r="C56" s="75">
        <v>52034.711000000003</v>
      </c>
      <c r="D56" s="75">
        <v>3.0000000000000001E-3</v>
      </c>
      <c r="E56" s="10">
        <f t="shared" si="17"/>
        <v>20225.972921132787</v>
      </c>
      <c r="F56">
        <f t="shared" si="9"/>
        <v>20226</v>
      </c>
      <c r="G56" s="9">
        <f t="shared" si="18"/>
        <v>-9.7012199985329062E-3</v>
      </c>
      <c r="K56" s="9">
        <f>+G56</f>
        <v>-9.7012199985329062E-3</v>
      </c>
      <c r="O56" s="9">
        <f t="shared" ca="1" si="12"/>
        <v>-2.7411701857642246E-3</v>
      </c>
      <c r="P56" s="9">
        <f t="shared" si="13"/>
        <v>-4.1316161095907925E-3</v>
      </c>
      <c r="Q56" s="11">
        <f t="shared" si="14"/>
        <v>37016.211000000003</v>
      </c>
      <c r="R56">
        <f t="shared" si="15"/>
        <v>3.1020487479719119E-5</v>
      </c>
      <c r="S56">
        <v>0.4</v>
      </c>
      <c r="T56">
        <f t="shared" si="16"/>
        <v>1.2408194991887648E-5</v>
      </c>
      <c r="U56">
        <f>VLOOKUP(C56,'A (3)'!C$41:E$95,3,FALSE)</f>
        <v>20225.972921132787</v>
      </c>
    </row>
    <row r="57" spans="1:23">
      <c r="A57" s="28" t="s">
        <v>38</v>
      </c>
      <c r="B57" s="74" t="s">
        <v>39</v>
      </c>
      <c r="C57" s="75">
        <v>52475.012000000002</v>
      </c>
      <c r="D57" s="75">
        <v>2E-3</v>
      </c>
      <c r="E57" s="10">
        <f t="shared" si="17"/>
        <v>21454.978377731561</v>
      </c>
      <c r="F57">
        <f t="shared" si="9"/>
        <v>21455</v>
      </c>
      <c r="G57" s="9">
        <f t="shared" si="18"/>
        <v>-7.7463499983423389E-3</v>
      </c>
      <c r="K57" s="9">
        <f>+G57</f>
        <v>-7.7463499983423389E-3</v>
      </c>
      <c r="O57" s="9">
        <f t="shared" ca="1" si="12"/>
        <v>-7.0253969147045514E-3</v>
      </c>
      <c r="P57" s="9">
        <f t="shared" si="13"/>
        <v>-6.958634173080798E-3</v>
      </c>
      <c r="Q57" s="11">
        <f t="shared" si="14"/>
        <v>37456.512000000002</v>
      </c>
      <c r="R57">
        <f t="shared" si="15"/>
        <v>6.2049622136747061E-7</v>
      </c>
      <c r="S57">
        <v>0.4</v>
      </c>
      <c r="T57">
        <f t="shared" si="16"/>
        <v>2.4819848854698823E-7</v>
      </c>
      <c r="U57">
        <f>VLOOKUP(C57,'A (3)'!C$41:E$95,3,FALSE)</f>
        <v>21454.978377731561</v>
      </c>
    </row>
    <row r="58" spans="1:23">
      <c r="A58" s="28" t="s">
        <v>124</v>
      </c>
      <c r="B58" s="74" t="s">
        <v>39</v>
      </c>
      <c r="C58" s="79">
        <v>52725.434500000003</v>
      </c>
      <c r="D58" s="79">
        <v>1E-4</v>
      </c>
      <c r="E58" s="10">
        <f t="shared" si="17"/>
        <v>22153.978877287787</v>
      </c>
      <c r="F58">
        <f t="shared" si="9"/>
        <v>22154</v>
      </c>
      <c r="G58" s="9">
        <f t="shared" si="18"/>
        <v>-7.5673799947253428E-3</v>
      </c>
      <c r="K58" s="9">
        <f t="shared" ref="K58:K64" si="19">G58</f>
        <v>-7.5673799947253428E-3</v>
      </c>
      <c r="O58" s="9">
        <f t="shared" ca="1" si="12"/>
        <v>-9.4620726539472455E-3</v>
      </c>
      <c r="P58" s="9">
        <f t="shared" si="13"/>
        <v>-8.7188234306119286E-3</v>
      </c>
      <c r="Q58" s="11">
        <f t="shared" si="14"/>
        <v>37706.934500000003</v>
      </c>
      <c r="R58">
        <f t="shared" si="15"/>
        <v>1.325821986046306E-6</v>
      </c>
      <c r="S58">
        <v>1</v>
      </c>
      <c r="T58">
        <f t="shared" si="16"/>
        <v>1.325821986046306E-6</v>
      </c>
      <c r="U58">
        <f>VLOOKUP(C58,'A (3)'!C$41:E$95,3,FALSE)</f>
        <v>22153.978877287787</v>
      </c>
    </row>
    <row r="59" spans="1:23">
      <c r="A59" s="28" t="s">
        <v>124</v>
      </c>
      <c r="B59" s="74" t="s">
        <v>41</v>
      </c>
      <c r="C59" s="79">
        <v>52725.613499999999</v>
      </c>
      <c r="D59" s="79">
        <v>2.0000000000000001E-4</v>
      </c>
      <c r="E59" s="10">
        <f t="shared" si="17"/>
        <v>22154.47851725392</v>
      </c>
      <c r="F59">
        <f t="shared" si="9"/>
        <v>22154.5</v>
      </c>
      <c r="G59" s="9">
        <f t="shared" si="18"/>
        <v>-7.6963649989920668E-3</v>
      </c>
      <c r="K59" s="9">
        <f t="shared" si="19"/>
        <v>-7.6963649989920668E-3</v>
      </c>
      <c r="O59" s="9">
        <f t="shared" ca="1" si="12"/>
        <v>-9.4638156265790391E-3</v>
      </c>
      <c r="P59" s="9">
        <f t="shared" si="13"/>
        <v>-8.7201220346433475E-3</v>
      </c>
      <c r="Q59" s="11">
        <f t="shared" si="14"/>
        <v>37707.113499999999</v>
      </c>
      <c r="R59">
        <f t="shared" si="15"/>
        <v>1.0480784680454975E-6</v>
      </c>
      <c r="S59">
        <v>1</v>
      </c>
      <c r="T59">
        <f t="shared" si="16"/>
        <v>1.0480784680454975E-6</v>
      </c>
      <c r="U59">
        <f>VLOOKUP(C59,'A (3)'!C$41:E$95,3,FALSE)</f>
        <v>22154.47851725392</v>
      </c>
    </row>
    <row r="60" spans="1:23">
      <c r="A60" s="28" t="s">
        <v>124</v>
      </c>
      <c r="B60" s="74" t="s">
        <v>39</v>
      </c>
      <c r="C60" s="79">
        <v>52726.509700000002</v>
      </c>
      <c r="D60" s="79">
        <v>1E-4</v>
      </c>
      <c r="E60" s="10">
        <f t="shared" si="17"/>
        <v>22156.980066626296</v>
      </c>
      <c r="F60">
        <f t="shared" si="9"/>
        <v>22157</v>
      </c>
      <c r="G60" s="9">
        <f t="shared" si="18"/>
        <v>-7.1412899997085333E-3</v>
      </c>
      <c r="K60" s="9">
        <f t="shared" si="19"/>
        <v>-7.1412899997085333E-3</v>
      </c>
      <c r="O60" s="9">
        <f t="shared" ca="1" si="12"/>
        <v>-9.4725304897379931E-3</v>
      </c>
      <c r="P60" s="9">
        <f t="shared" si="13"/>
        <v>-8.7266159024196391E-3</v>
      </c>
      <c r="Q60" s="11">
        <f t="shared" si="14"/>
        <v>37708.009700000002</v>
      </c>
      <c r="R60">
        <f t="shared" si="15"/>
        <v>2.5132582178067825E-6</v>
      </c>
      <c r="S60">
        <v>1</v>
      </c>
      <c r="T60">
        <f t="shared" si="16"/>
        <v>2.5132582178067825E-6</v>
      </c>
      <c r="U60">
        <f>VLOOKUP(C60,'A (3)'!C$41:E$95,3,FALSE)</f>
        <v>22156.980066626296</v>
      </c>
    </row>
    <row r="61" spans="1:23">
      <c r="A61" s="28" t="s">
        <v>124</v>
      </c>
      <c r="B61" s="74" t="s">
        <v>41</v>
      </c>
      <c r="C61" s="79">
        <v>52727.404699999999</v>
      </c>
      <c r="D61" s="79"/>
      <c r="E61" s="10">
        <f t="shared" si="17"/>
        <v>22159.478266456983</v>
      </c>
      <c r="F61">
        <f t="shared" si="9"/>
        <v>22159.5</v>
      </c>
      <c r="G61" s="9">
        <f t="shared" si="18"/>
        <v>-7.7862149992142804E-3</v>
      </c>
      <c r="K61" s="9">
        <f t="shared" si="19"/>
        <v>-7.7862149992142804E-3</v>
      </c>
      <c r="O61" s="9">
        <f t="shared" ca="1" si="12"/>
        <v>-9.4812453528969332E-3</v>
      </c>
      <c r="P61" s="9">
        <f t="shared" si="13"/>
        <v>-8.7331111828946179E-3</v>
      </c>
      <c r="Q61" s="11">
        <f t="shared" si="14"/>
        <v>37708.904699999999</v>
      </c>
      <c r="R61">
        <f t="shared" si="15"/>
        <v>8.9661238266838739E-7</v>
      </c>
      <c r="S61">
        <v>1</v>
      </c>
      <c r="T61">
        <f t="shared" si="16"/>
        <v>8.9661238266838739E-7</v>
      </c>
      <c r="U61">
        <f>VLOOKUP(C61,'A (3)'!C$41:E$95,3,FALSE)</f>
        <v>22159.478266456983</v>
      </c>
    </row>
    <row r="62" spans="1:23">
      <c r="A62" s="28" t="s">
        <v>124</v>
      </c>
      <c r="B62" s="74" t="s">
        <v>41</v>
      </c>
      <c r="C62" s="79">
        <v>52727.404999999999</v>
      </c>
      <c r="D62" s="79">
        <v>2.0000000000000001E-4</v>
      </c>
      <c r="E62" s="10">
        <f t="shared" si="17"/>
        <v>22159.479103842401</v>
      </c>
      <c r="F62">
        <f t="shared" si="9"/>
        <v>22159.5</v>
      </c>
      <c r="G62" s="9">
        <f t="shared" si="18"/>
        <v>-7.4862149995169602E-3</v>
      </c>
      <c r="K62" s="9">
        <f t="shared" si="19"/>
        <v>-7.4862149995169602E-3</v>
      </c>
      <c r="O62" s="9">
        <f t="shared" ca="1" si="12"/>
        <v>-9.4812453528969332E-3</v>
      </c>
      <c r="P62" s="9">
        <f t="shared" si="13"/>
        <v>-8.7331111828946179E-3</v>
      </c>
      <c r="Q62" s="11">
        <f t="shared" si="14"/>
        <v>37708.904999999999</v>
      </c>
      <c r="R62">
        <f t="shared" si="15"/>
        <v>1.5547500921217692E-6</v>
      </c>
      <c r="S62">
        <v>1</v>
      </c>
      <c r="T62">
        <f t="shared" si="16"/>
        <v>1.5547500921217692E-6</v>
      </c>
      <c r="U62">
        <f>VLOOKUP(C62,'A (3)'!C$41:E$95,3,FALSE)</f>
        <v>22159.479103842401</v>
      </c>
    </row>
    <row r="63" spans="1:23">
      <c r="A63" s="28" t="s">
        <v>124</v>
      </c>
      <c r="B63" s="74" t="s">
        <v>39</v>
      </c>
      <c r="C63" s="79">
        <v>52727.584699999999</v>
      </c>
      <c r="D63" s="79">
        <v>2.9999999999999997E-4</v>
      </c>
      <c r="E63" s="10">
        <f t="shared" si="17"/>
        <v>22159.980697707852</v>
      </c>
      <c r="F63">
        <f t="shared" si="9"/>
        <v>22160</v>
      </c>
      <c r="G63" s="9">
        <f t="shared" si="18"/>
        <v>-6.9151999996392988E-3</v>
      </c>
      <c r="K63" s="9">
        <f t="shared" si="19"/>
        <v>-6.9151999996392988E-3</v>
      </c>
      <c r="O63" s="9">
        <f t="shared" ca="1" si="12"/>
        <v>-9.4829883255287267E-3</v>
      </c>
      <c r="P63" s="9">
        <f t="shared" si="13"/>
        <v>-8.7344104085134641E-3</v>
      </c>
      <c r="Q63" s="11">
        <f t="shared" si="14"/>
        <v>37709.084699999999</v>
      </c>
      <c r="R63">
        <f t="shared" si="15"/>
        <v>3.3095265117561077E-6</v>
      </c>
      <c r="S63">
        <v>1</v>
      </c>
      <c r="T63">
        <f t="shared" si="16"/>
        <v>3.3095265117561077E-6</v>
      </c>
      <c r="U63">
        <f>VLOOKUP(C63,'A (3)'!C$41:E$95,3,FALSE)</f>
        <v>22159.980697707852</v>
      </c>
      <c r="W63" t="s">
        <v>158</v>
      </c>
    </row>
    <row r="64" spans="1:23">
      <c r="A64" s="28" t="s">
        <v>124</v>
      </c>
      <c r="B64" s="74" t="s">
        <v>41</v>
      </c>
      <c r="C64" s="79">
        <v>52730.630400000002</v>
      </c>
      <c r="D64" s="79">
        <v>4.0000000000000002E-4</v>
      </c>
      <c r="E64" s="10">
        <f t="shared" si="17"/>
        <v>22168.482113600992</v>
      </c>
      <c r="F64">
        <f t="shared" si="9"/>
        <v>22168.5</v>
      </c>
      <c r="G64" s="9">
        <f t="shared" si="18"/>
        <v>-6.407945002138149E-3</v>
      </c>
      <c r="K64" s="9">
        <f t="shared" si="19"/>
        <v>-6.407945002138149E-3</v>
      </c>
      <c r="O64" s="9">
        <f t="shared" ca="1" si="12"/>
        <v>-9.5126188602691619E-3</v>
      </c>
      <c r="P64" s="9">
        <f t="shared" si="13"/>
        <v>-8.7565058897496953E-3</v>
      </c>
      <c r="Q64" s="11">
        <f t="shared" si="14"/>
        <v>37712.130400000002</v>
      </c>
      <c r="R64">
        <f t="shared" si="15"/>
        <v>5.5157382428187344E-6</v>
      </c>
      <c r="S64">
        <v>1</v>
      </c>
      <c r="T64">
        <f t="shared" si="16"/>
        <v>5.5157382428187344E-6</v>
      </c>
      <c r="U64">
        <f>VLOOKUP(C64,'A (3)'!C$41:E$95,3,FALSE)</f>
        <v>22168.482113600992</v>
      </c>
      <c r="W64" t="s">
        <v>158</v>
      </c>
    </row>
    <row r="65" spans="1:21">
      <c r="A65" s="140" t="s">
        <v>312</v>
      </c>
      <c r="B65" s="141" t="s">
        <v>39</v>
      </c>
      <c r="C65" s="142">
        <v>52761.080600000001</v>
      </c>
      <c r="D65" s="196" t="s">
        <v>181</v>
      </c>
      <c r="E65" s="10">
        <f t="shared" si="17"/>
        <v>22253.477291796189</v>
      </c>
      <c r="F65">
        <f t="shared" si="9"/>
        <v>22253.5</v>
      </c>
      <c r="G65" s="9">
        <f t="shared" si="18"/>
        <v>-8.1353950008633547E-3</v>
      </c>
      <c r="K65" s="9">
        <f>+G65</f>
        <v>-8.1353950008633547E-3</v>
      </c>
      <c r="O65" s="9">
        <f t="shared" ca="1" si="12"/>
        <v>-9.8089242076735E-3</v>
      </c>
      <c r="P65" s="9">
        <f t="shared" si="13"/>
        <v>-8.978358895937899E-3</v>
      </c>
      <c r="Q65" s="11">
        <f t="shared" si="14"/>
        <v>37742.580600000001</v>
      </c>
      <c r="R65">
        <f t="shared" si="15"/>
        <v>7.1058812839924744E-7</v>
      </c>
      <c r="S65">
        <v>1</v>
      </c>
      <c r="T65">
        <f t="shared" si="16"/>
        <v>7.1058812839924744E-7</v>
      </c>
      <c r="U65" t="e">
        <f>VLOOKUP(C65,'A (3)'!C$41:E$95,3,FALSE)</f>
        <v>#N/A</v>
      </c>
    </row>
    <row r="66" spans="1:21">
      <c r="A66" s="140" t="s">
        <v>312</v>
      </c>
      <c r="B66" s="141" t="s">
        <v>41</v>
      </c>
      <c r="C66" s="142">
        <v>52763.05</v>
      </c>
      <c r="D66" s="196" t="s">
        <v>181</v>
      </c>
      <c r="E66" s="10">
        <f t="shared" si="17"/>
        <v>22258.97444793762</v>
      </c>
      <c r="F66">
        <f t="shared" ref="F66:F97" si="20">ROUND(2*E66,0)/2</f>
        <v>22259</v>
      </c>
      <c r="G66" s="9">
        <f t="shared" si="18"/>
        <v>-9.1542299996945076E-3</v>
      </c>
      <c r="K66" s="9">
        <f>+G66</f>
        <v>-9.1542299996945076E-3</v>
      </c>
      <c r="O66" s="9">
        <f t="shared" ca="1" si="12"/>
        <v>-9.8280969066231877E-3</v>
      </c>
      <c r="P66" s="9">
        <f t="shared" si="13"/>
        <v>-8.9927703441177176E-3</v>
      </c>
      <c r="Q66" s="11">
        <f t="shared" si="14"/>
        <v>37744.550000000003</v>
      </c>
      <c r="R66">
        <f t="shared" si="15"/>
        <v>2.606922037897565E-8</v>
      </c>
      <c r="S66">
        <v>1</v>
      </c>
      <c r="T66">
        <f t="shared" si="16"/>
        <v>2.606922037897565E-8</v>
      </c>
      <c r="U66" t="e">
        <f>VLOOKUP(C66,'A (3)'!C$41:E$95,3,FALSE)</f>
        <v>#N/A</v>
      </c>
    </row>
    <row r="67" spans="1:21">
      <c r="A67" s="28" t="s">
        <v>38</v>
      </c>
      <c r="B67" s="74" t="s">
        <v>39</v>
      </c>
      <c r="C67" s="75">
        <v>52773.798999999999</v>
      </c>
      <c r="D67" s="75">
        <v>2E-3</v>
      </c>
      <c r="E67" s="10">
        <f t="shared" si="17"/>
        <v>22288.97796746852</v>
      </c>
      <c r="F67">
        <f t="shared" si="20"/>
        <v>22289</v>
      </c>
      <c r="G67" s="9">
        <f t="shared" si="18"/>
        <v>-7.893330002843868E-3</v>
      </c>
      <c r="K67" s="9">
        <f>+G67</f>
        <v>-7.893330002843868E-3</v>
      </c>
      <c r="O67" s="9">
        <f t="shared" ca="1" si="12"/>
        <v>-9.9326752645306077E-3</v>
      </c>
      <c r="P67" s="9">
        <f t="shared" si="13"/>
        <v>-9.0714986052085819E-3</v>
      </c>
      <c r="Q67" s="11">
        <f t="shared" si="14"/>
        <v>37755.298999999999</v>
      </c>
      <c r="R67">
        <f t="shared" si="15"/>
        <v>1.3880812555980234E-6</v>
      </c>
      <c r="S67">
        <v>0.4</v>
      </c>
      <c r="T67">
        <f t="shared" si="16"/>
        <v>5.5523250223920936E-7</v>
      </c>
      <c r="U67">
        <f>VLOOKUP(C67,'A (3)'!C$41:E$95,3,FALSE)</f>
        <v>22288.97796746852</v>
      </c>
    </row>
    <row r="68" spans="1:21">
      <c r="A68" s="28" t="s">
        <v>38</v>
      </c>
      <c r="B68" s="74" t="s">
        <v>39</v>
      </c>
      <c r="C68" s="75">
        <v>53132.762999999999</v>
      </c>
      <c r="D68" s="75">
        <v>3.0000000000000001E-3</v>
      </c>
      <c r="E68" s="10">
        <f t="shared" si="17"/>
        <v>23290.948698224351</v>
      </c>
      <c r="F68">
        <f t="shared" si="20"/>
        <v>23291</v>
      </c>
      <c r="G68" s="9">
        <f t="shared" si="18"/>
        <v>-1.8379270004516002E-2</v>
      </c>
      <c r="K68" s="9">
        <f>+G68</f>
        <v>-1.8379270004516002E-2</v>
      </c>
      <c r="O68" s="9">
        <f t="shared" ca="1" si="12"/>
        <v>-1.3425592418638166E-2</v>
      </c>
      <c r="P68" s="9">
        <f t="shared" si="13"/>
        <v>-1.1817888194134617E-2</v>
      </c>
      <c r="Q68" s="11">
        <f t="shared" si="14"/>
        <v>38114.262999999999</v>
      </c>
      <c r="R68">
        <f t="shared" si="15"/>
        <v>4.3051731261603705E-5</v>
      </c>
      <c r="S68">
        <v>0.4</v>
      </c>
      <c r="T68">
        <f t="shared" si="16"/>
        <v>1.7220692504641482E-5</v>
      </c>
      <c r="U68">
        <f>VLOOKUP(C68,'A (3)'!C$41:E$95,3,FALSE)</f>
        <v>23290.948698224351</v>
      </c>
    </row>
    <row r="69" spans="1:21">
      <c r="A69" s="28" t="s">
        <v>157</v>
      </c>
      <c r="B69" s="74" t="s">
        <v>39</v>
      </c>
      <c r="C69" s="79">
        <v>53189.010199999997</v>
      </c>
      <c r="D69" s="79"/>
      <c r="E69" s="115">
        <f t="shared" si="17"/>
        <v>23447.950648522896</v>
      </c>
      <c r="F69" s="116">
        <f t="shared" si="20"/>
        <v>23448</v>
      </c>
      <c r="G69" s="117">
        <f t="shared" si="18"/>
        <v>-1.7680560005828738E-2</v>
      </c>
      <c r="K69" s="9">
        <f>G69</f>
        <v>-1.7680560005828738E-2</v>
      </c>
      <c r="O69" s="9">
        <f t="shared" ca="1" si="12"/>
        <v>-1.3972885825020293E-2</v>
      </c>
      <c r="P69" s="9">
        <f t="shared" si="13"/>
        <v>-1.2268775425864777E-2</v>
      </c>
      <c r="Q69" s="11">
        <f t="shared" si="14"/>
        <v>38170.510199999997</v>
      </c>
      <c r="R69">
        <f t="shared" si="15"/>
        <v>2.9287412339935714E-5</v>
      </c>
      <c r="S69">
        <v>1</v>
      </c>
      <c r="T69">
        <f t="shared" si="16"/>
        <v>2.9287412339935714E-5</v>
      </c>
      <c r="U69">
        <f>VLOOKUP(C69,'A (3)'!C$41:E$95,3,FALSE)</f>
        <v>23447.950648522896</v>
      </c>
    </row>
    <row r="70" spans="1:21">
      <c r="A70" s="28" t="s">
        <v>157</v>
      </c>
      <c r="B70" s="74"/>
      <c r="C70" s="79">
        <v>53190.977599999998</v>
      </c>
      <c r="D70" s="79"/>
      <c r="E70" s="115">
        <f t="shared" si="17"/>
        <v>23453.442222094873</v>
      </c>
      <c r="F70" s="116">
        <f t="shared" si="20"/>
        <v>23453.5</v>
      </c>
      <c r="G70" s="117">
        <f t="shared" si="18"/>
        <v>-2.0699395005067345E-2</v>
      </c>
      <c r="K70" s="9">
        <f>G70</f>
        <v>-2.0699395005067345E-2</v>
      </c>
      <c r="O70" s="9">
        <f t="shared" ca="1" si="12"/>
        <v>-1.399205852396998E-2</v>
      </c>
      <c r="P70" s="9">
        <f t="shared" si="13"/>
        <v>-1.2284671846397505E-2</v>
      </c>
      <c r="Q70" s="11">
        <f t="shared" si="14"/>
        <v>38172.477599999998</v>
      </c>
      <c r="R70">
        <f t="shared" si="15"/>
        <v>7.0807565837054527E-5</v>
      </c>
      <c r="S70">
        <v>1</v>
      </c>
      <c r="T70">
        <f t="shared" si="16"/>
        <v>7.0807565837054527E-5</v>
      </c>
      <c r="U70">
        <f>VLOOKUP(C70,'A (3)'!C$41:E$95,3,FALSE)</f>
        <v>23453.442222094873</v>
      </c>
    </row>
    <row r="71" spans="1:21">
      <c r="A71" s="28" t="s">
        <v>124</v>
      </c>
      <c r="B71" s="74" t="s">
        <v>41</v>
      </c>
      <c r="C71" s="79">
        <v>53438.895199999999</v>
      </c>
      <c r="D71" s="79">
        <v>2.9999999999999997E-4</v>
      </c>
      <c r="E71" s="10">
        <f t="shared" si="17"/>
        <v>24145.450832538347</v>
      </c>
      <c r="F71">
        <f t="shared" si="20"/>
        <v>24145.5</v>
      </c>
      <c r="G71" s="9">
        <f t="shared" si="18"/>
        <v>-1.7614634998608381E-2</v>
      </c>
      <c r="K71" s="9">
        <f>G71</f>
        <v>-1.7614634998608381E-2</v>
      </c>
      <c r="O71" s="9">
        <f t="shared" ca="1" si="12"/>
        <v>-1.640433264636762E-2</v>
      </c>
      <c r="P71" s="9">
        <f t="shared" si="13"/>
        <v>-1.4339279957302775E-2</v>
      </c>
      <c r="Q71" s="11">
        <f t="shared" si="14"/>
        <v>38420.395199999999</v>
      </c>
      <c r="R71">
        <f t="shared" si="15"/>
        <v>1.0727950646606044E-5</v>
      </c>
      <c r="S71">
        <v>1</v>
      </c>
      <c r="T71">
        <f t="shared" si="16"/>
        <v>1.0727950646606044E-5</v>
      </c>
      <c r="U71">
        <f>VLOOKUP(C71,'A (3)'!C$41:E$95,3,FALSE)</f>
        <v>24145.450832538347</v>
      </c>
    </row>
    <row r="72" spans="1:21">
      <c r="A72" s="28" t="s">
        <v>47</v>
      </c>
      <c r="B72" s="192" t="s">
        <v>39</v>
      </c>
      <c r="C72" s="193">
        <v>53450.538699999997</v>
      </c>
      <c r="D72" s="193">
        <v>4.0000000000000002E-4</v>
      </c>
      <c r="E72" s="10">
        <f t="shared" si="17"/>
        <v>24177.95115625759</v>
      </c>
      <c r="F72">
        <f t="shared" si="20"/>
        <v>24178</v>
      </c>
      <c r="G72" s="9">
        <f t="shared" si="18"/>
        <v>-1.7498660003184341E-2</v>
      </c>
      <c r="K72" s="9">
        <f t="shared" ref="K72:K103" si="21">+G72</f>
        <v>-1.7498660003184341E-2</v>
      </c>
      <c r="O72" s="9">
        <f t="shared" ca="1" si="12"/>
        <v>-1.651762586743398E-2</v>
      </c>
      <c r="P72" s="9">
        <f t="shared" si="13"/>
        <v>-1.4438436380949202E-2</v>
      </c>
      <c r="Q72" s="11">
        <f t="shared" si="14"/>
        <v>38432.038699999997</v>
      </c>
      <c r="R72">
        <f t="shared" si="15"/>
        <v>9.3649686180859556E-6</v>
      </c>
      <c r="S72">
        <v>1</v>
      </c>
      <c r="T72">
        <f t="shared" si="16"/>
        <v>9.3649686180859556E-6</v>
      </c>
      <c r="U72">
        <f>VLOOKUP(C72,'A (3)'!C$41:E$95,3,FALSE)</f>
        <v>24177.95115625759</v>
      </c>
    </row>
    <row r="73" spans="1:21">
      <c r="A73" s="28" t="s">
        <v>49</v>
      </c>
      <c r="B73" s="74" t="s">
        <v>41</v>
      </c>
      <c r="C73" s="75">
        <v>53509.829700000002</v>
      </c>
      <c r="D73" s="75">
        <v>5.9999999999999995E-4</v>
      </c>
      <c r="E73" s="10">
        <f t="shared" si="17"/>
        <v>24343.449219008307</v>
      </c>
      <c r="F73">
        <f t="shared" si="20"/>
        <v>24343.5</v>
      </c>
      <c r="G73" s="9">
        <f t="shared" si="18"/>
        <v>-1.8192695002653636E-2</v>
      </c>
      <c r="K73" s="9">
        <f t="shared" si="21"/>
        <v>-1.8192695002653636E-2</v>
      </c>
      <c r="O73" s="9">
        <f t="shared" ca="1" si="12"/>
        <v>-1.7094549808556542E-2</v>
      </c>
      <c r="P73" s="9">
        <f t="shared" si="13"/>
        <v>-1.4947074817690247E-2</v>
      </c>
      <c r="Q73" s="11">
        <f t="shared" si="14"/>
        <v>38491.329700000002</v>
      </c>
      <c r="R73">
        <f t="shared" si="15"/>
        <v>1.0534050385041787E-5</v>
      </c>
      <c r="S73">
        <v>1</v>
      </c>
      <c r="T73">
        <f t="shared" si="16"/>
        <v>1.0534050385041787E-5</v>
      </c>
      <c r="U73">
        <f>VLOOKUP(C73,'A (3)'!C$41:E$95,3,FALSE)</f>
        <v>24343.449219008307</v>
      </c>
    </row>
    <row r="74" spans="1:21">
      <c r="A74" s="28" t="s">
        <v>49</v>
      </c>
      <c r="B74" s="74" t="s">
        <v>41</v>
      </c>
      <c r="C74" s="75">
        <v>53511.6204</v>
      </c>
      <c r="D74" s="75">
        <v>1E-3</v>
      </c>
      <c r="E74" s="10">
        <f t="shared" si="17"/>
        <v>24348.447572569003</v>
      </c>
      <c r="F74">
        <f t="shared" si="20"/>
        <v>24348.5</v>
      </c>
      <c r="G74" s="9">
        <f t="shared" si="18"/>
        <v>-1.8782544997520745E-2</v>
      </c>
      <c r="K74" s="9">
        <f t="shared" si="21"/>
        <v>-1.8782544997520745E-2</v>
      </c>
      <c r="O74" s="9">
        <f t="shared" ca="1" si="12"/>
        <v>-1.7111979534874436E-2</v>
      </c>
      <c r="P74" s="9">
        <f t="shared" si="13"/>
        <v>-1.4962537883883999E-2</v>
      </c>
      <c r="Q74" s="11">
        <f t="shared" si="14"/>
        <v>38493.1204</v>
      </c>
      <c r="R74">
        <f t="shared" si="15"/>
        <v>1.4592454348235343E-5</v>
      </c>
      <c r="S74">
        <v>0.5</v>
      </c>
      <c r="T74">
        <f t="shared" si="16"/>
        <v>7.2962271741176717E-6</v>
      </c>
      <c r="U74">
        <v>24348.447572569003</v>
      </c>
    </row>
    <row r="75" spans="1:21">
      <c r="A75" s="28" t="s">
        <v>49</v>
      </c>
      <c r="B75" s="74" t="s">
        <v>39</v>
      </c>
      <c r="C75" s="75">
        <v>53511.798499999997</v>
      </c>
      <c r="D75" s="75">
        <v>2.0999999999999999E-3</v>
      </c>
      <c r="E75" s="10">
        <f t="shared" si="17"/>
        <v>24348.944700378881</v>
      </c>
      <c r="F75">
        <f t="shared" si="20"/>
        <v>24349</v>
      </c>
      <c r="G75" s="9">
        <f t="shared" si="18"/>
        <v>-1.9811530000879429E-2</v>
      </c>
      <c r="K75" s="9">
        <f t="shared" si="21"/>
        <v>-1.9811530000879429E-2</v>
      </c>
      <c r="O75" s="9">
        <f t="shared" ca="1" si="12"/>
        <v>-1.7113722507506229E-2</v>
      </c>
      <c r="P75" s="9">
        <f t="shared" si="13"/>
        <v>-1.4964084501297083E-2</v>
      </c>
      <c r="Q75" s="11">
        <f t="shared" si="14"/>
        <v>38493.298499999997</v>
      </c>
      <c r="R75">
        <f t="shared" si="15"/>
        <v>2.3497727871421144E-5</v>
      </c>
      <c r="S75">
        <v>0.4</v>
      </c>
      <c r="T75">
        <f t="shared" si="16"/>
        <v>9.3990911485684591E-6</v>
      </c>
      <c r="U75">
        <v>24348.944700378881</v>
      </c>
    </row>
    <row r="76" spans="1:21">
      <c r="A76" s="28" t="s">
        <v>49</v>
      </c>
      <c r="B76" s="74" t="s">
        <v>41</v>
      </c>
      <c r="C76" s="75">
        <v>53517.711300000003</v>
      </c>
      <c r="D76" s="75">
        <v>1.2999999999999999E-3</v>
      </c>
      <c r="E76" s="10">
        <f t="shared" si="17"/>
        <v>24365.449008712916</v>
      </c>
      <c r="F76">
        <f t="shared" si="20"/>
        <v>24365.5</v>
      </c>
      <c r="G76" s="9">
        <f t="shared" si="18"/>
        <v>-1.826803499716334E-2</v>
      </c>
      <c r="K76" s="9">
        <f t="shared" si="21"/>
        <v>-1.826803499716334E-2</v>
      </c>
      <c r="O76" s="9">
        <f t="shared" ca="1" si="12"/>
        <v>-1.7171240604355306E-2</v>
      </c>
      <c r="P76" s="9">
        <f t="shared" si="13"/>
        <v>-1.501515457688752E-2</v>
      </c>
      <c r="Q76" s="11">
        <f t="shared" si="14"/>
        <v>38499.211300000003</v>
      </c>
      <c r="R76">
        <f t="shared" si="15"/>
        <v>1.0581231028613801E-5</v>
      </c>
      <c r="S76">
        <v>0.5</v>
      </c>
      <c r="T76">
        <f t="shared" si="16"/>
        <v>5.2906155143069003E-6</v>
      </c>
      <c r="U76">
        <v>24365.449008712916</v>
      </c>
    </row>
    <row r="77" spans="1:21">
      <c r="A77" s="28" t="s">
        <v>38</v>
      </c>
      <c r="B77" s="74" t="s">
        <v>39</v>
      </c>
      <c r="C77" s="75">
        <v>53521.474999999999</v>
      </c>
      <c r="D77" s="75">
        <v>2E-3</v>
      </c>
      <c r="E77" s="10">
        <f t="shared" si="17"/>
        <v>24375.954567040051</v>
      </c>
      <c r="F77">
        <f t="shared" si="20"/>
        <v>24376</v>
      </c>
      <c r="G77" s="9">
        <f t="shared" si="18"/>
        <v>-1.6276720001769718E-2</v>
      </c>
      <c r="K77" s="9">
        <f t="shared" si="21"/>
        <v>-1.6276720001769718E-2</v>
      </c>
      <c r="O77" s="9">
        <f t="shared" ca="1" si="12"/>
        <v>-1.7207843029622902E-2</v>
      </c>
      <c r="P77" s="9">
        <f t="shared" si="13"/>
        <v>-1.5047685755905864E-2</v>
      </c>
      <c r="Q77" s="11">
        <f t="shared" si="14"/>
        <v>38502.974999999999</v>
      </c>
      <c r="R77">
        <f t="shared" si="15"/>
        <v>1.5105251775061322E-6</v>
      </c>
      <c r="S77">
        <v>0.4</v>
      </c>
      <c r="T77">
        <f t="shared" si="16"/>
        <v>6.0421007100245288E-7</v>
      </c>
      <c r="U77">
        <v>24375.954567040051</v>
      </c>
    </row>
    <row r="78" spans="1:21">
      <c r="A78" s="140" t="s">
        <v>357</v>
      </c>
      <c r="B78" s="141" t="s">
        <v>41</v>
      </c>
      <c r="C78" s="142">
        <v>53858.241399999999</v>
      </c>
      <c r="D78" s="196" t="s">
        <v>181</v>
      </c>
      <c r="E78" s="10">
        <f t="shared" si="17"/>
        <v>25315.965475939021</v>
      </c>
      <c r="F78">
        <f t="shared" si="20"/>
        <v>25316</v>
      </c>
      <c r="G78" s="9">
        <f t="shared" si="18"/>
        <v>-1.2368520001473371E-2</v>
      </c>
      <c r="K78" s="9">
        <f t="shared" si="21"/>
        <v>-1.2368520001473371E-2</v>
      </c>
      <c r="O78" s="9">
        <f t="shared" ca="1" si="12"/>
        <v>-2.0484631577388474E-2</v>
      </c>
      <c r="P78" s="9">
        <f t="shared" si="13"/>
        <v>-1.8060977141672194E-2</v>
      </c>
      <c r="Q78" s="11">
        <f t="shared" si="14"/>
        <v>38839.741399999999</v>
      </c>
      <c r="R78">
        <f t="shared" si="15"/>
        <v>3.2404068293000558E-5</v>
      </c>
      <c r="S78">
        <v>1</v>
      </c>
      <c r="T78">
        <f t="shared" si="16"/>
        <v>3.2404068293000558E-5</v>
      </c>
    </row>
    <row r="79" spans="1:21">
      <c r="A79" s="140" t="s">
        <v>357</v>
      </c>
      <c r="B79" s="141" t="s">
        <v>41</v>
      </c>
      <c r="C79" s="142">
        <v>53860.0311</v>
      </c>
      <c r="D79" s="196" t="s">
        <v>181</v>
      </c>
      <c r="E79" s="10">
        <f t="shared" si="17"/>
        <v>25320.961038215002</v>
      </c>
      <c r="F79">
        <f t="shared" si="20"/>
        <v>25321</v>
      </c>
      <c r="G79" s="9">
        <f t="shared" si="18"/>
        <v>-1.3958370000182185E-2</v>
      </c>
      <c r="K79" s="9">
        <f t="shared" si="21"/>
        <v>-1.3958370000182185E-2</v>
      </c>
      <c r="O79" s="9">
        <f t="shared" ca="1" si="12"/>
        <v>-2.0502061303706381E-2</v>
      </c>
      <c r="P79" s="9">
        <f t="shared" si="13"/>
        <v>-1.8077539287445238E-2</v>
      </c>
      <c r="Q79" s="11">
        <f t="shared" si="14"/>
        <v>38841.5311</v>
      </c>
      <c r="R79">
        <f t="shared" si="15"/>
        <v>1.6967555617131204E-5</v>
      </c>
      <c r="S79">
        <v>1</v>
      </c>
      <c r="T79">
        <f t="shared" si="16"/>
        <v>1.6967555617131204E-5</v>
      </c>
    </row>
    <row r="80" spans="1:21">
      <c r="A80" s="61" t="s">
        <v>159</v>
      </c>
      <c r="B80" s="37"/>
      <c r="C80" s="118">
        <v>54164.364999999998</v>
      </c>
      <c r="D80" s="146">
        <v>5.0000000000000001E-4</v>
      </c>
      <c r="E80" s="10">
        <f t="shared" si="17"/>
        <v>26170.443605204364</v>
      </c>
      <c r="F80">
        <f t="shared" si="20"/>
        <v>26170.5</v>
      </c>
      <c r="G80" s="9">
        <f t="shared" si="18"/>
        <v>-2.0203885003866162E-2</v>
      </c>
      <c r="K80" s="9">
        <f t="shared" si="21"/>
        <v>-2.0203885003866162E-2</v>
      </c>
      <c r="O80" s="9">
        <f t="shared" ref="O80:O111" ca="1" si="22">+C$11+C$12*F80</f>
        <v>-2.3463371805117927E-2</v>
      </c>
      <c r="P80" s="9">
        <f t="shared" ref="P80:P111" si="23">+D$11+D$12*F80+D$13*F80^2</f>
        <v>-2.0973485838211264E-2</v>
      </c>
      <c r="Q80" s="11">
        <f t="shared" ref="Q80:Q111" si="24">+C80-15018.5</f>
        <v>39145.864999999998</v>
      </c>
      <c r="R80">
        <f t="shared" ref="R80:R111" si="25">+(P80-G80)^2</f>
        <v>5.9228544422467746E-7</v>
      </c>
      <c r="S80">
        <v>1</v>
      </c>
      <c r="T80">
        <f t="shared" ref="T80:T111" si="26">S80*R80</f>
        <v>5.9228544422467746E-7</v>
      </c>
      <c r="U80">
        <v>26170.443605204364</v>
      </c>
    </row>
    <row r="81" spans="1:21">
      <c r="A81" s="28" t="s">
        <v>160</v>
      </c>
      <c r="B81" s="74" t="s">
        <v>41</v>
      </c>
      <c r="C81" s="79">
        <v>54233.502</v>
      </c>
      <c r="D81" s="146">
        <v>1.5E-3</v>
      </c>
      <c r="E81" s="10">
        <f t="shared" si="17"/>
        <v>26363.424657377476</v>
      </c>
      <c r="F81">
        <f t="shared" si="20"/>
        <v>26363.5</v>
      </c>
      <c r="G81" s="9">
        <f t="shared" si="18"/>
        <v>-2.6992095001332927E-2</v>
      </c>
      <c r="K81" s="9">
        <f t="shared" si="21"/>
        <v>-2.6992095001332927E-2</v>
      </c>
      <c r="O81" s="9">
        <f t="shared" ca="1" si="22"/>
        <v>-2.4136159240988955E-2</v>
      </c>
      <c r="P81" s="9">
        <f t="shared" si="23"/>
        <v>-2.1654162157559678E-2</v>
      </c>
      <c r="Q81" s="11">
        <f t="shared" si="24"/>
        <v>39215.002</v>
      </c>
      <c r="R81">
        <f t="shared" si="25"/>
        <v>2.8493527044633169E-5</v>
      </c>
      <c r="S81">
        <v>0.5</v>
      </c>
      <c r="T81">
        <f t="shared" si="26"/>
        <v>1.4246763522316585E-5</v>
      </c>
      <c r="U81">
        <v>26363.424657377476</v>
      </c>
    </row>
    <row r="82" spans="1:21">
      <c r="A82" s="28" t="s">
        <v>160</v>
      </c>
      <c r="B82" s="74" t="s">
        <v>39</v>
      </c>
      <c r="C82" s="79">
        <v>54301.390500000001</v>
      </c>
      <c r="D82" s="146">
        <v>2E-3</v>
      </c>
      <c r="E82" s="10">
        <f t="shared" si="17"/>
        <v>26552.920790568875</v>
      </c>
      <c r="F82">
        <f t="shared" si="20"/>
        <v>26553</v>
      </c>
      <c r="G82" s="9">
        <f t="shared" si="18"/>
        <v>-2.8377410002576653E-2</v>
      </c>
      <c r="K82" s="9">
        <f t="shared" si="21"/>
        <v>-2.8377410002576653E-2</v>
      </c>
      <c r="O82" s="9">
        <f t="shared" ca="1" si="22"/>
        <v>-2.4796745868437442E-2</v>
      </c>
      <c r="P82" s="9">
        <f t="shared" si="23"/>
        <v>-2.233068642171411E-2</v>
      </c>
      <c r="Q82" s="11">
        <f t="shared" si="24"/>
        <v>39282.890500000001</v>
      </c>
      <c r="R82">
        <f t="shared" si="25"/>
        <v>3.6562866063359131E-5</v>
      </c>
      <c r="S82">
        <v>0.4</v>
      </c>
      <c r="T82">
        <f t="shared" si="26"/>
        <v>1.4625146425343653E-5</v>
      </c>
      <c r="U82">
        <v>26552.920790568875</v>
      </c>
    </row>
    <row r="83" spans="1:21">
      <c r="A83" s="28" t="s">
        <v>160</v>
      </c>
      <c r="B83" s="74" t="s">
        <v>39</v>
      </c>
      <c r="C83" s="79">
        <v>54539.633500000004</v>
      </c>
      <c r="D83" s="146">
        <v>5.0000000000000001E-4</v>
      </c>
      <c r="E83" s="10">
        <f t="shared" si="17"/>
        <v>27217.924837792172</v>
      </c>
      <c r="F83">
        <f t="shared" si="20"/>
        <v>27218</v>
      </c>
      <c r="G83" s="9">
        <f t="shared" si="18"/>
        <v>-2.6927459999569692E-2</v>
      </c>
      <c r="K83" s="9">
        <f t="shared" si="21"/>
        <v>-2.6927459999569692E-2</v>
      </c>
      <c r="O83" s="9">
        <f t="shared" ca="1" si="22"/>
        <v>-2.7114899468718409E-2</v>
      </c>
      <c r="P83" s="9">
        <f t="shared" si="23"/>
        <v>-2.4768989366546174E-2</v>
      </c>
      <c r="Q83" s="11">
        <f t="shared" si="24"/>
        <v>39521.133500000004</v>
      </c>
      <c r="R83">
        <f t="shared" si="25"/>
        <v>4.6589954736249475E-6</v>
      </c>
      <c r="S83">
        <v>1</v>
      </c>
      <c r="T83">
        <f t="shared" si="26"/>
        <v>4.6589954736249475E-6</v>
      </c>
      <c r="U83">
        <v>27217.924837792172</v>
      </c>
    </row>
    <row r="84" spans="1:21">
      <c r="A84" s="140" t="s">
        <v>368</v>
      </c>
      <c r="B84" s="141" t="s">
        <v>41</v>
      </c>
      <c r="C84" s="142">
        <v>54571.160100000001</v>
      </c>
      <c r="D84" s="196" t="s">
        <v>181</v>
      </c>
      <c r="E84" s="10">
        <f t="shared" si="17"/>
        <v>27305.924554867546</v>
      </c>
      <c r="F84">
        <f t="shared" si="20"/>
        <v>27306</v>
      </c>
      <c r="G84" s="9">
        <f t="shared" si="18"/>
        <v>-2.702881999721285E-2</v>
      </c>
      <c r="K84" s="9">
        <f t="shared" si="21"/>
        <v>-2.702881999721285E-2</v>
      </c>
      <c r="O84" s="9">
        <f t="shared" ca="1" si="22"/>
        <v>-2.7421662651913481E-2</v>
      </c>
      <c r="P84" s="9">
        <f t="shared" si="23"/>
        <v>-2.5099140897146419E-2</v>
      </c>
      <c r="Q84" s="11">
        <f t="shared" si="24"/>
        <v>39552.660100000001</v>
      </c>
      <c r="R84">
        <f t="shared" si="25"/>
        <v>3.7236614292331909E-6</v>
      </c>
      <c r="S84">
        <v>1</v>
      </c>
      <c r="T84">
        <f t="shared" si="26"/>
        <v>3.7236614292331909E-6</v>
      </c>
    </row>
    <row r="85" spans="1:21">
      <c r="A85" s="28" t="s">
        <v>160</v>
      </c>
      <c r="B85" s="74" t="s">
        <v>41</v>
      </c>
      <c r="C85" s="79">
        <v>54644.423999999999</v>
      </c>
      <c r="D85" s="75">
        <v>1E-3</v>
      </c>
      <c r="E85" s="10">
        <f t="shared" ref="E85:E116" si="27">+(C85-C$7)/C$8</f>
        <v>27510.42495998065</v>
      </c>
      <c r="F85">
        <f t="shared" si="20"/>
        <v>27510.5</v>
      </c>
      <c r="G85" s="9">
        <f t="shared" ref="G85:G116" si="28">+C85-(C$7+F85*C$8)</f>
        <v>-2.6883685000939295E-2</v>
      </c>
      <c r="K85" s="9">
        <f t="shared" si="21"/>
        <v>-2.6883685000939295E-2</v>
      </c>
      <c r="O85" s="9">
        <f t="shared" ca="1" si="22"/>
        <v>-2.8134538458315678E-2</v>
      </c>
      <c r="P85" s="9">
        <f t="shared" si="23"/>
        <v>-2.5873128220629982E-2</v>
      </c>
      <c r="Q85" s="11">
        <f t="shared" si="24"/>
        <v>39625.923999999999</v>
      </c>
      <c r="R85">
        <f t="shared" si="25"/>
        <v>1.0212250062291251E-6</v>
      </c>
      <c r="S85">
        <v>0.5</v>
      </c>
      <c r="T85">
        <f t="shared" si="26"/>
        <v>5.1061250311456255E-7</v>
      </c>
      <c r="U85">
        <v>27510.42495998065</v>
      </c>
    </row>
    <row r="86" spans="1:21">
      <c r="A86" s="28" t="s">
        <v>160</v>
      </c>
      <c r="B86" s="74" t="s">
        <v>39</v>
      </c>
      <c r="C86" s="79">
        <v>54646.394999999997</v>
      </c>
      <c r="D86" s="75">
        <v>2.9999999999999997E-4</v>
      </c>
      <c r="E86" s="10">
        <f t="shared" si="27"/>
        <v>27515.926582177632</v>
      </c>
      <c r="F86">
        <f t="shared" si="20"/>
        <v>27516</v>
      </c>
      <c r="G86" s="9">
        <f t="shared" si="28"/>
        <v>-2.6302520003810059E-2</v>
      </c>
      <c r="K86" s="9">
        <f t="shared" si="21"/>
        <v>-2.6302520003810059E-2</v>
      </c>
      <c r="O86" s="9">
        <f t="shared" ca="1" si="22"/>
        <v>-2.8153711157265365E-2</v>
      </c>
      <c r="P86" s="9">
        <f t="shared" si="23"/>
        <v>-2.5894075038972425E-2</v>
      </c>
      <c r="Q86" s="11">
        <f t="shared" si="24"/>
        <v>39627.894999999997</v>
      </c>
      <c r="R86">
        <f t="shared" si="25"/>
        <v>1.6682728930121628E-7</v>
      </c>
      <c r="S86">
        <v>1</v>
      </c>
      <c r="T86">
        <f t="shared" si="26"/>
        <v>1.6682728930121628E-7</v>
      </c>
    </row>
    <row r="87" spans="1:21">
      <c r="A87" s="28" t="s">
        <v>160</v>
      </c>
      <c r="B87" s="74" t="s">
        <v>39</v>
      </c>
      <c r="C87" s="79">
        <v>54656.426500000001</v>
      </c>
      <c r="D87" s="75">
        <v>1.5E-3</v>
      </c>
      <c r="E87" s="10">
        <f t="shared" si="27"/>
        <v>27543.927354916908</v>
      </c>
      <c r="F87">
        <f t="shared" si="20"/>
        <v>27544</v>
      </c>
      <c r="G87" s="9">
        <f t="shared" si="28"/>
        <v>-2.6025679995655082E-2</v>
      </c>
      <c r="K87" s="9">
        <f t="shared" si="21"/>
        <v>-2.6025679995655082E-2</v>
      </c>
      <c r="O87" s="9">
        <f t="shared" ca="1" si="22"/>
        <v>-2.8251317624645611E-2</v>
      </c>
      <c r="P87" s="9">
        <f t="shared" si="23"/>
        <v>-2.6000819395807118E-2</v>
      </c>
      <c r="Q87" s="11">
        <f t="shared" si="24"/>
        <v>39637.926500000001</v>
      </c>
      <c r="R87">
        <f t="shared" si="25"/>
        <v>6.1804942480061326E-10</v>
      </c>
      <c r="S87">
        <v>0.5</v>
      </c>
      <c r="T87">
        <f t="shared" si="26"/>
        <v>3.0902471240030663E-10</v>
      </c>
    </row>
    <row r="88" spans="1:21">
      <c r="A88" s="28" t="s">
        <v>161</v>
      </c>
      <c r="B88" s="74" t="s">
        <v>41</v>
      </c>
      <c r="C88" s="79">
        <v>54667.352200000001</v>
      </c>
      <c r="D88" s="79">
        <v>1E-4</v>
      </c>
      <c r="E88" s="10">
        <f t="shared" si="27"/>
        <v>27574.424094459086</v>
      </c>
      <c r="F88">
        <f t="shared" si="20"/>
        <v>27574.5</v>
      </c>
      <c r="G88" s="9">
        <f t="shared" si="28"/>
        <v>-2.719376500317594E-2</v>
      </c>
      <c r="K88" s="9">
        <f t="shared" si="21"/>
        <v>-2.719376500317594E-2</v>
      </c>
      <c r="O88" s="9">
        <f t="shared" ca="1" si="22"/>
        <v>-2.8357638955184811E-2</v>
      </c>
      <c r="P88" s="9">
        <f t="shared" si="23"/>
        <v>-2.6117296147398494E-2</v>
      </c>
      <c r="Q88" s="11">
        <f t="shared" si="24"/>
        <v>39648.852200000001</v>
      </c>
      <c r="R88">
        <f t="shared" si="25"/>
        <v>1.1587851974588039E-6</v>
      </c>
      <c r="S88">
        <v>1</v>
      </c>
      <c r="T88">
        <f t="shared" si="26"/>
        <v>1.1587851974588039E-6</v>
      </c>
    </row>
    <row r="89" spans="1:21">
      <c r="A89" s="28" t="s">
        <v>182</v>
      </c>
      <c r="B89" s="74" t="s">
        <v>39</v>
      </c>
      <c r="C89" s="75">
        <v>54667.352200000001</v>
      </c>
      <c r="D89" s="75">
        <v>1E-4</v>
      </c>
      <c r="E89" s="10">
        <f t="shared" si="27"/>
        <v>27574.424094459086</v>
      </c>
      <c r="F89">
        <f t="shared" si="20"/>
        <v>27574.5</v>
      </c>
      <c r="G89" s="9">
        <f t="shared" si="28"/>
        <v>-2.719376500317594E-2</v>
      </c>
      <c r="K89" s="9">
        <f t="shared" si="21"/>
        <v>-2.719376500317594E-2</v>
      </c>
      <c r="O89" s="9">
        <f t="shared" ca="1" si="22"/>
        <v>-2.8357638955184811E-2</v>
      </c>
      <c r="P89" s="9">
        <f t="shared" si="23"/>
        <v>-2.6117296147398494E-2</v>
      </c>
      <c r="Q89" s="11">
        <f t="shared" si="24"/>
        <v>39648.852200000001</v>
      </c>
      <c r="R89">
        <f t="shared" si="25"/>
        <v>1.1587851974588039E-6</v>
      </c>
      <c r="S89">
        <v>1</v>
      </c>
      <c r="T89">
        <f t="shared" si="26"/>
        <v>1.1587851974588039E-6</v>
      </c>
    </row>
    <row r="90" spans="1:21">
      <c r="A90" s="123" t="s">
        <v>125</v>
      </c>
      <c r="B90" s="124" t="s">
        <v>41</v>
      </c>
      <c r="C90" s="123">
        <v>54667.3531</v>
      </c>
      <c r="D90" s="123">
        <v>6.9999999999999999E-4</v>
      </c>
      <c r="E90" s="10">
        <f t="shared" si="27"/>
        <v>27574.42660661534</v>
      </c>
      <c r="F90">
        <f t="shared" si="20"/>
        <v>27574.5</v>
      </c>
      <c r="G90" s="9">
        <f t="shared" si="28"/>
        <v>-2.629376500408398E-2</v>
      </c>
      <c r="K90" s="9">
        <f t="shared" si="21"/>
        <v>-2.629376500408398E-2</v>
      </c>
      <c r="O90" s="9">
        <f t="shared" ca="1" si="22"/>
        <v>-2.8357638955184811E-2</v>
      </c>
      <c r="P90" s="9">
        <f t="shared" si="23"/>
        <v>-2.6117296147398494E-2</v>
      </c>
      <c r="Q90" s="11">
        <f t="shared" si="24"/>
        <v>39648.8531</v>
      </c>
      <c r="R90">
        <f t="shared" si="25"/>
        <v>3.1141257379882425E-8</v>
      </c>
      <c r="S90">
        <v>1</v>
      </c>
      <c r="T90">
        <f t="shared" si="26"/>
        <v>3.1141257379882425E-8</v>
      </c>
    </row>
    <row r="91" spans="1:21">
      <c r="A91" s="28" t="s">
        <v>160</v>
      </c>
      <c r="B91" s="74" t="s">
        <v>39</v>
      </c>
      <c r="C91" s="79">
        <v>54894.668599999997</v>
      </c>
      <c r="D91" s="79"/>
      <c r="E91" s="10">
        <f t="shared" si="27"/>
        <v>28208.92888998393</v>
      </c>
      <c r="F91">
        <f t="shared" si="20"/>
        <v>28209</v>
      </c>
      <c r="G91" s="9">
        <f t="shared" si="28"/>
        <v>-2.5475730006291997E-2</v>
      </c>
      <c r="K91" s="9">
        <f t="shared" si="21"/>
        <v>-2.5475730006291997E-2</v>
      </c>
      <c r="O91" s="9">
        <f t="shared" ca="1" si="22"/>
        <v>-3.0569471224926578E-2</v>
      </c>
      <c r="P91" s="9">
        <f t="shared" si="23"/>
        <v>-2.8588080680782016E-2</v>
      </c>
      <c r="Q91" s="11">
        <f t="shared" si="24"/>
        <v>39876.168599999997</v>
      </c>
      <c r="R91">
        <f t="shared" si="25"/>
        <v>9.6867267209984777E-6</v>
      </c>
      <c r="S91">
        <v>1</v>
      </c>
      <c r="T91">
        <f t="shared" si="26"/>
        <v>9.6867267209984777E-6</v>
      </c>
    </row>
    <row r="92" spans="1:21">
      <c r="A92" s="140" t="s">
        <v>384</v>
      </c>
      <c r="B92" s="141" t="s">
        <v>39</v>
      </c>
      <c r="C92" s="142">
        <v>54920.283100000001</v>
      </c>
      <c r="D92" s="196" t="s">
        <v>181</v>
      </c>
      <c r="E92" s="10">
        <f t="shared" si="27"/>
        <v>28280.426252624609</v>
      </c>
      <c r="F92">
        <f t="shared" si="20"/>
        <v>28280.5</v>
      </c>
      <c r="G92" s="9">
        <f t="shared" si="28"/>
        <v>-2.64205849962309E-2</v>
      </c>
      <c r="K92" s="9">
        <f t="shared" si="21"/>
        <v>-2.64205849962309E-2</v>
      </c>
      <c r="O92" s="9">
        <f t="shared" ca="1" si="22"/>
        <v>-3.0818716311272587E-2</v>
      </c>
      <c r="P92" s="9">
        <f t="shared" si="23"/>
        <v>-2.8872211290426705E-2</v>
      </c>
      <c r="Q92" s="11">
        <f t="shared" si="24"/>
        <v>39901.783100000001</v>
      </c>
      <c r="R92">
        <f t="shared" si="25"/>
        <v>6.0104714863922563E-6</v>
      </c>
      <c r="S92">
        <v>1</v>
      </c>
      <c r="T92">
        <f t="shared" si="26"/>
        <v>6.0104714863922563E-6</v>
      </c>
    </row>
    <row r="93" spans="1:21">
      <c r="A93" s="140" t="s">
        <v>384</v>
      </c>
      <c r="B93" s="141" t="s">
        <v>39</v>
      </c>
      <c r="C93" s="142">
        <v>54951.092799999999</v>
      </c>
      <c r="D93" s="196" t="s">
        <v>181</v>
      </c>
      <c r="E93" s="10">
        <f t="shared" si="27"/>
        <v>28366.424897679171</v>
      </c>
      <c r="F93">
        <f t="shared" si="20"/>
        <v>28366.5</v>
      </c>
      <c r="G93" s="9">
        <f t="shared" si="28"/>
        <v>-2.6906005005002953E-2</v>
      </c>
      <c r="K93" s="9">
        <f t="shared" si="21"/>
        <v>-2.6906005005002953E-2</v>
      </c>
      <c r="O93" s="9">
        <f t="shared" ca="1" si="22"/>
        <v>-3.1118507603940498E-2</v>
      </c>
      <c r="P93" s="9">
        <f t="shared" si="23"/>
        <v>-2.9215493593234748E-2</v>
      </c>
      <c r="Q93" s="11">
        <f t="shared" si="24"/>
        <v>39932.592799999999</v>
      </c>
      <c r="R93">
        <f t="shared" si="25"/>
        <v>5.3337375391728898E-6</v>
      </c>
      <c r="S93">
        <v>1</v>
      </c>
      <c r="T93">
        <f t="shared" si="26"/>
        <v>5.3337375391728898E-6</v>
      </c>
    </row>
    <row r="94" spans="1:21">
      <c r="A94" s="28" t="s">
        <v>160</v>
      </c>
      <c r="B94" s="74" t="s">
        <v>41</v>
      </c>
      <c r="C94" s="79">
        <v>54971.514000000003</v>
      </c>
      <c r="D94" s="79"/>
      <c r="E94" s="10">
        <f t="shared" si="27"/>
        <v>28423.426281346936</v>
      </c>
      <c r="F94">
        <f t="shared" si="20"/>
        <v>28423.5</v>
      </c>
      <c r="G94" s="9">
        <f t="shared" si="28"/>
        <v>-2.6410294995002914E-2</v>
      </c>
      <c r="K94" s="9">
        <f t="shared" si="21"/>
        <v>-2.6410294995002914E-2</v>
      </c>
      <c r="O94" s="9">
        <f t="shared" ca="1" si="22"/>
        <v>-3.1317206483964577E-2</v>
      </c>
      <c r="P94" s="9">
        <f t="shared" si="23"/>
        <v>-2.9443939102772668E-2</v>
      </c>
      <c r="Q94" s="11">
        <f t="shared" si="24"/>
        <v>39953.014000000003</v>
      </c>
      <c r="R94">
        <f t="shared" si="25"/>
        <v>9.2029965726061432E-6</v>
      </c>
      <c r="S94">
        <v>1</v>
      </c>
      <c r="T94">
        <f t="shared" si="26"/>
        <v>9.2029965726061432E-6</v>
      </c>
    </row>
    <row r="95" spans="1:21">
      <c r="A95" s="140" t="s">
        <v>393</v>
      </c>
      <c r="B95" s="141" t="s">
        <v>41</v>
      </c>
      <c r="C95" s="142">
        <v>55318.118300000002</v>
      </c>
      <c r="D95" s="196" t="s">
        <v>181</v>
      </c>
      <c r="E95" s="10">
        <f t="shared" si="27"/>
        <v>29390.897570262012</v>
      </c>
      <c r="F95">
        <f t="shared" si="20"/>
        <v>29391</v>
      </c>
      <c r="G95" s="9">
        <f t="shared" si="28"/>
        <v>-3.6696269999083597E-2</v>
      </c>
      <c r="K95" s="9">
        <f t="shared" si="21"/>
        <v>-3.6696269999083597E-2</v>
      </c>
      <c r="O95" s="9">
        <f t="shared" ca="1" si="22"/>
        <v>-3.4689858526478615E-2</v>
      </c>
      <c r="P95" s="9">
        <f t="shared" si="23"/>
        <v>-3.3433522819957734E-2</v>
      </c>
      <c r="Q95" s="11">
        <f t="shared" si="24"/>
        <v>40299.618300000002</v>
      </c>
      <c r="R95">
        <f t="shared" si="25"/>
        <v>1.0645519154893778E-5</v>
      </c>
      <c r="S95">
        <v>1</v>
      </c>
      <c r="T95">
        <f t="shared" si="26"/>
        <v>1.0645519154893778E-5</v>
      </c>
    </row>
    <row r="96" spans="1:21">
      <c r="A96" s="140" t="s">
        <v>393</v>
      </c>
      <c r="B96" s="141" t="s">
        <v>41</v>
      </c>
      <c r="C96" s="142">
        <v>55350.003599999996</v>
      </c>
      <c r="D96" s="196" t="s">
        <v>181</v>
      </c>
      <c r="E96" s="10">
        <f t="shared" si="27"/>
        <v>29479.898521168965</v>
      </c>
      <c r="F96">
        <f t="shared" si="20"/>
        <v>29480</v>
      </c>
      <c r="G96" s="9">
        <f t="shared" si="28"/>
        <v>-3.6355600008391775E-2</v>
      </c>
      <c r="K96" s="9">
        <f t="shared" si="21"/>
        <v>-3.6355600008391775E-2</v>
      </c>
      <c r="O96" s="9">
        <f t="shared" ca="1" si="22"/>
        <v>-3.5000107654937274E-2</v>
      </c>
      <c r="P96" s="9">
        <f t="shared" si="23"/>
        <v>-3.381115000101835E-2</v>
      </c>
      <c r="Q96" s="11">
        <f t="shared" si="24"/>
        <v>40331.503599999996</v>
      </c>
      <c r="R96">
        <f t="shared" si="25"/>
        <v>6.474225840022622E-6</v>
      </c>
      <c r="S96">
        <v>1</v>
      </c>
      <c r="T96">
        <f t="shared" si="26"/>
        <v>6.474225840022622E-6</v>
      </c>
    </row>
    <row r="97" spans="1:20">
      <c r="A97" s="123" t="s">
        <v>180</v>
      </c>
      <c r="B97" s="124" t="s">
        <v>41</v>
      </c>
      <c r="C97" s="123">
        <v>55652.909099999997</v>
      </c>
      <c r="D97" s="123">
        <v>5.9999999999999995E-4</v>
      </c>
      <c r="E97" s="10">
        <f t="shared" si="27"/>
        <v>30325.394017054237</v>
      </c>
      <c r="F97">
        <f t="shared" si="20"/>
        <v>30325.5</v>
      </c>
      <c r="G97" s="9">
        <f t="shared" si="28"/>
        <v>-3.7969235003401991E-2</v>
      </c>
      <c r="K97" s="9">
        <f t="shared" si="21"/>
        <v>-3.7969235003401991E-2</v>
      </c>
      <c r="O97" s="9">
        <f t="shared" ca="1" si="22"/>
        <v>-3.7947474375294499E-2</v>
      </c>
      <c r="P97" s="9">
        <f t="shared" si="23"/>
        <v>-3.7487904311831188E-2</v>
      </c>
      <c r="Q97" s="11">
        <f t="shared" si="24"/>
        <v>40634.409099999997</v>
      </c>
      <c r="R97">
        <f t="shared" si="25"/>
        <v>2.3167923464802716E-7</v>
      </c>
      <c r="S97">
        <v>1</v>
      </c>
      <c r="T97">
        <f t="shared" si="26"/>
        <v>2.3167923464802716E-7</v>
      </c>
    </row>
    <row r="98" spans="1:20">
      <c r="A98" s="140" t="s">
        <v>408</v>
      </c>
      <c r="B98" s="141" t="s">
        <v>39</v>
      </c>
      <c r="C98" s="142">
        <v>56016.900699999998</v>
      </c>
      <c r="D98" s="142" t="s">
        <v>213</v>
      </c>
      <c r="E98" s="10">
        <f t="shared" si="27"/>
        <v>31341.398210903717</v>
      </c>
      <c r="F98">
        <f t="shared" ref="F98:F129" si="29">ROUND(2*E98,0)/2</f>
        <v>31341.5</v>
      </c>
      <c r="G98" s="9">
        <f t="shared" si="28"/>
        <v>-3.6466755002038553E-2</v>
      </c>
      <c r="K98" s="9">
        <f t="shared" si="21"/>
        <v>-3.6466755002038553E-2</v>
      </c>
      <c r="O98" s="9">
        <f t="shared" ca="1" si="22"/>
        <v>-4.1489194763092194E-2</v>
      </c>
      <c r="P98" s="9">
        <f t="shared" si="23"/>
        <v>-4.2119842700389765E-2</v>
      </c>
      <c r="Q98" s="11">
        <f t="shared" si="24"/>
        <v>40998.400699999998</v>
      </c>
      <c r="R98">
        <f t="shared" si="25"/>
        <v>3.1957400525249793E-5</v>
      </c>
      <c r="S98">
        <v>1</v>
      </c>
      <c r="T98">
        <f t="shared" si="26"/>
        <v>3.1957400525249793E-5</v>
      </c>
    </row>
    <row r="99" spans="1:20">
      <c r="A99" s="140" t="s">
        <v>413</v>
      </c>
      <c r="B99" s="141" t="s">
        <v>39</v>
      </c>
      <c r="C99" s="142">
        <v>56053.082900000001</v>
      </c>
      <c r="D99" s="197" t="s">
        <v>181</v>
      </c>
      <c r="E99" s="10">
        <f t="shared" si="27"/>
        <v>31442.393033154294</v>
      </c>
      <c r="F99">
        <f t="shared" si="29"/>
        <v>31442.5</v>
      </c>
      <c r="G99" s="9">
        <f t="shared" si="28"/>
        <v>-3.8321724998240825E-2</v>
      </c>
      <c r="K99" s="9">
        <f t="shared" si="21"/>
        <v>-3.8321724998240825E-2</v>
      </c>
      <c r="O99" s="9">
        <f t="shared" ca="1" si="22"/>
        <v>-4.1841275234713815E-2</v>
      </c>
      <c r="P99" s="9">
        <f t="shared" si="23"/>
        <v>-4.2593051256790471E-2</v>
      </c>
      <c r="Q99" s="11">
        <f t="shared" si="24"/>
        <v>41034.582900000001</v>
      </c>
      <c r="R99">
        <f t="shared" si="25"/>
        <v>1.8244228006975717E-5</v>
      </c>
      <c r="S99">
        <v>1</v>
      </c>
      <c r="T99">
        <f t="shared" si="26"/>
        <v>1.8244228006975717E-5</v>
      </c>
    </row>
    <row r="100" spans="1:20">
      <c r="A100" s="99" t="s">
        <v>192</v>
      </c>
      <c r="B100" s="97" t="s">
        <v>41</v>
      </c>
      <c r="C100" s="100">
        <v>56067.413800000002</v>
      </c>
      <c r="D100" s="100">
        <v>2.9999999999999997E-4</v>
      </c>
      <c r="E100" s="10">
        <f t="shared" si="27"/>
        <v>31482.394655448981</v>
      </c>
      <c r="F100">
        <f t="shared" si="29"/>
        <v>31482.5</v>
      </c>
      <c r="G100" s="9">
        <f t="shared" si="28"/>
        <v>-3.7740524996479508E-2</v>
      </c>
      <c r="K100" s="9">
        <f t="shared" si="21"/>
        <v>-3.7740524996479508E-2</v>
      </c>
      <c r="O100" s="9">
        <f t="shared" ca="1" si="22"/>
        <v>-4.1980713045257023E-2</v>
      </c>
      <c r="P100" s="9">
        <f t="shared" si="23"/>
        <v>-4.2781097995706133E-2</v>
      </c>
      <c r="Q100" s="11">
        <f t="shared" si="24"/>
        <v>41048.913800000002</v>
      </c>
      <c r="R100">
        <f t="shared" si="25"/>
        <v>2.5407376160532494E-5</v>
      </c>
      <c r="S100">
        <v>1</v>
      </c>
      <c r="T100">
        <f t="shared" si="26"/>
        <v>2.5407376160532494E-5</v>
      </c>
    </row>
    <row r="101" spans="1:20">
      <c r="A101" s="144" t="s">
        <v>192</v>
      </c>
      <c r="B101" s="145" t="s">
        <v>41</v>
      </c>
      <c r="C101" s="146">
        <v>56067.413800000002</v>
      </c>
      <c r="D101" s="146">
        <v>2.9999999999999997E-4</v>
      </c>
      <c r="E101" s="10">
        <f t="shared" si="27"/>
        <v>31482.394655448981</v>
      </c>
      <c r="F101">
        <f t="shared" si="29"/>
        <v>31482.5</v>
      </c>
      <c r="G101" s="9">
        <f t="shared" si="28"/>
        <v>-3.7740524996479508E-2</v>
      </c>
      <c r="K101" s="9">
        <f t="shared" si="21"/>
        <v>-3.7740524996479508E-2</v>
      </c>
      <c r="O101" s="9">
        <f t="shared" ca="1" si="22"/>
        <v>-4.1980713045257023E-2</v>
      </c>
      <c r="P101" s="9">
        <f t="shared" si="23"/>
        <v>-4.2781097995706133E-2</v>
      </c>
      <c r="Q101" s="11">
        <f t="shared" si="24"/>
        <v>41048.913800000002</v>
      </c>
      <c r="R101">
        <f t="shared" si="25"/>
        <v>2.5407376160532494E-5</v>
      </c>
      <c r="S101">
        <v>1</v>
      </c>
      <c r="T101">
        <f t="shared" si="26"/>
        <v>2.5407376160532494E-5</v>
      </c>
    </row>
    <row r="102" spans="1:20">
      <c r="A102" s="99" t="s">
        <v>192</v>
      </c>
      <c r="B102" s="97" t="s">
        <v>41</v>
      </c>
      <c r="C102" s="100">
        <v>56067.413860000001</v>
      </c>
      <c r="D102" s="100">
        <v>2.0000000000000001E-4</v>
      </c>
      <c r="E102" s="10">
        <f t="shared" si="27"/>
        <v>31482.39482292606</v>
      </c>
      <c r="F102">
        <f t="shared" si="29"/>
        <v>31482.5</v>
      </c>
      <c r="G102" s="9">
        <f t="shared" si="28"/>
        <v>-3.7680524997995235E-2</v>
      </c>
      <c r="K102" s="9">
        <f t="shared" si="21"/>
        <v>-3.7680524997995235E-2</v>
      </c>
      <c r="O102" s="9">
        <f t="shared" ca="1" si="22"/>
        <v>-4.1980713045257023E-2</v>
      </c>
      <c r="P102" s="9">
        <f t="shared" si="23"/>
        <v>-4.2781097995706133E-2</v>
      </c>
      <c r="Q102" s="11">
        <f t="shared" si="24"/>
        <v>41048.913860000001</v>
      </c>
      <c r="R102">
        <f t="shared" si="25"/>
        <v>2.6015844904977532E-5</v>
      </c>
      <c r="S102">
        <v>1</v>
      </c>
      <c r="T102">
        <f t="shared" si="26"/>
        <v>2.6015844904977532E-5</v>
      </c>
    </row>
    <row r="103" spans="1:20">
      <c r="A103" s="144" t="s">
        <v>192</v>
      </c>
      <c r="B103" s="145" t="s">
        <v>41</v>
      </c>
      <c r="C103" s="146">
        <v>56067.413860000001</v>
      </c>
      <c r="D103" s="146">
        <v>2.0000000000000001E-4</v>
      </c>
      <c r="E103" s="10">
        <f t="shared" si="27"/>
        <v>31482.39482292606</v>
      </c>
      <c r="F103">
        <f t="shared" si="29"/>
        <v>31482.5</v>
      </c>
      <c r="G103" s="9">
        <f t="shared" si="28"/>
        <v>-3.7680524997995235E-2</v>
      </c>
      <c r="K103" s="9">
        <f t="shared" si="21"/>
        <v>-3.7680524997995235E-2</v>
      </c>
      <c r="O103" s="9">
        <f t="shared" ca="1" si="22"/>
        <v>-4.1980713045257023E-2</v>
      </c>
      <c r="P103" s="9">
        <f t="shared" si="23"/>
        <v>-4.2781097995706133E-2</v>
      </c>
      <c r="Q103" s="11">
        <f t="shared" si="24"/>
        <v>41048.913860000001</v>
      </c>
      <c r="R103">
        <f t="shared" si="25"/>
        <v>2.6015844904977532E-5</v>
      </c>
      <c r="S103">
        <v>1</v>
      </c>
      <c r="T103">
        <f t="shared" si="26"/>
        <v>2.6015844904977532E-5</v>
      </c>
    </row>
    <row r="104" spans="1:20">
      <c r="A104" s="99" t="s">
        <v>192</v>
      </c>
      <c r="B104" s="97" t="s">
        <v>41</v>
      </c>
      <c r="C104" s="100">
        <v>56067.414049999999</v>
      </c>
      <c r="D104" s="100">
        <v>2.9999999999999997E-4</v>
      </c>
      <c r="E104" s="10">
        <f t="shared" si="27"/>
        <v>31482.395353270156</v>
      </c>
      <c r="F104">
        <f t="shared" si="29"/>
        <v>31482.5</v>
      </c>
      <c r="G104" s="9">
        <f t="shared" si="28"/>
        <v>-3.749052499915706E-2</v>
      </c>
      <c r="K104" s="9">
        <f t="shared" ref="K104:K124" si="30">+G104</f>
        <v>-3.749052499915706E-2</v>
      </c>
      <c r="O104" s="9">
        <f t="shared" ca="1" si="22"/>
        <v>-4.1980713045257023E-2</v>
      </c>
      <c r="P104" s="9">
        <f t="shared" si="23"/>
        <v>-4.2781097995706133E-2</v>
      </c>
      <c r="Q104" s="11">
        <f t="shared" si="24"/>
        <v>41048.914049999999</v>
      </c>
      <c r="R104">
        <f t="shared" si="25"/>
        <v>2.7990162631814236E-5</v>
      </c>
      <c r="S104">
        <v>1</v>
      </c>
      <c r="T104">
        <f t="shared" si="26"/>
        <v>2.7990162631814236E-5</v>
      </c>
    </row>
    <row r="105" spans="1:20">
      <c r="A105" s="144" t="s">
        <v>192</v>
      </c>
      <c r="B105" s="145" t="s">
        <v>41</v>
      </c>
      <c r="C105" s="146">
        <v>56067.414049999999</v>
      </c>
      <c r="D105" s="146">
        <v>2.9999999999999997E-4</v>
      </c>
      <c r="E105" s="10">
        <f t="shared" si="27"/>
        <v>31482.395353270156</v>
      </c>
      <c r="F105">
        <f t="shared" si="29"/>
        <v>31482.5</v>
      </c>
      <c r="G105" s="9">
        <f t="shared" si="28"/>
        <v>-3.749052499915706E-2</v>
      </c>
      <c r="K105" s="9">
        <f t="shared" si="30"/>
        <v>-3.749052499915706E-2</v>
      </c>
      <c r="O105" s="9">
        <f t="shared" ca="1" si="22"/>
        <v>-4.1980713045257023E-2</v>
      </c>
      <c r="P105" s="9">
        <f t="shared" si="23"/>
        <v>-4.2781097995706133E-2</v>
      </c>
      <c r="Q105" s="11">
        <f t="shared" si="24"/>
        <v>41048.914049999999</v>
      </c>
      <c r="R105">
        <f t="shared" si="25"/>
        <v>2.7990162631814236E-5</v>
      </c>
      <c r="S105">
        <v>1</v>
      </c>
      <c r="T105">
        <f t="shared" si="26"/>
        <v>2.7990162631814236E-5</v>
      </c>
    </row>
    <row r="106" spans="1:20">
      <c r="A106" s="99" t="s">
        <v>192</v>
      </c>
      <c r="B106" s="97" t="s">
        <v>41</v>
      </c>
      <c r="C106" s="100">
        <v>56067.414640000003</v>
      </c>
      <c r="D106" s="100">
        <v>2.0000000000000001E-4</v>
      </c>
      <c r="E106" s="10">
        <f t="shared" si="27"/>
        <v>31482.397000128152</v>
      </c>
      <c r="F106">
        <f t="shared" si="29"/>
        <v>31482.5</v>
      </c>
      <c r="G106" s="9">
        <f t="shared" si="28"/>
        <v>-3.690052499587182E-2</v>
      </c>
      <c r="K106" s="9">
        <f t="shared" si="30"/>
        <v>-3.690052499587182E-2</v>
      </c>
      <c r="O106" s="9">
        <f t="shared" ca="1" si="22"/>
        <v>-4.1980713045257023E-2</v>
      </c>
      <c r="P106" s="9">
        <f t="shared" si="23"/>
        <v>-4.2781097995706133E-2</v>
      </c>
      <c r="Q106" s="11">
        <f t="shared" si="24"/>
        <v>41048.914640000003</v>
      </c>
      <c r="R106">
        <f t="shared" si="25"/>
        <v>3.458113880638033E-5</v>
      </c>
      <c r="S106">
        <v>1</v>
      </c>
      <c r="T106">
        <f t="shared" si="26"/>
        <v>3.458113880638033E-5</v>
      </c>
    </row>
    <row r="107" spans="1:20">
      <c r="A107" s="144" t="s">
        <v>192</v>
      </c>
      <c r="B107" s="145" t="s">
        <v>41</v>
      </c>
      <c r="C107" s="146">
        <v>56067.414640000003</v>
      </c>
      <c r="D107" s="146">
        <v>2.0000000000000001E-4</v>
      </c>
      <c r="E107" s="10">
        <f t="shared" si="27"/>
        <v>31482.397000128152</v>
      </c>
      <c r="F107">
        <f t="shared" si="29"/>
        <v>31482.5</v>
      </c>
      <c r="G107" s="9">
        <f t="shared" si="28"/>
        <v>-3.690052499587182E-2</v>
      </c>
      <c r="K107" s="9">
        <f t="shared" si="30"/>
        <v>-3.690052499587182E-2</v>
      </c>
      <c r="O107" s="9">
        <f t="shared" ca="1" si="22"/>
        <v>-4.1980713045257023E-2</v>
      </c>
      <c r="P107" s="9">
        <f t="shared" si="23"/>
        <v>-4.2781097995706133E-2</v>
      </c>
      <c r="Q107" s="11">
        <f t="shared" si="24"/>
        <v>41048.914640000003</v>
      </c>
      <c r="R107">
        <f t="shared" si="25"/>
        <v>3.458113880638033E-5</v>
      </c>
      <c r="S107">
        <v>1</v>
      </c>
      <c r="T107">
        <f t="shared" si="26"/>
        <v>3.458113880638033E-5</v>
      </c>
    </row>
    <row r="108" spans="1:20">
      <c r="A108" s="140" t="s">
        <v>408</v>
      </c>
      <c r="B108" s="141" t="s">
        <v>41</v>
      </c>
      <c r="C108" s="142">
        <v>56093.743999999999</v>
      </c>
      <c r="D108" s="142" t="s">
        <v>213</v>
      </c>
      <c r="E108" s="10">
        <f t="shared" si="27"/>
        <v>31555.889740568782</v>
      </c>
      <c r="F108">
        <f t="shared" si="29"/>
        <v>31556</v>
      </c>
      <c r="G108" s="9">
        <f t="shared" si="28"/>
        <v>-3.9501320003182627E-2</v>
      </c>
      <c r="K108" s="9">
        <f t="shared" si="30"/>
        <v>-3.9501320003182627E-2</v>
      </c>
      <c r="O108" s="9">
        <f t="shared" ca="1" si="22"/>
        <v>-4.2236930022130192E-2</v>
      </c>
      <c r="P108" s="9">
        <f t="shared" si="23"/>
        <v>-4.3127576685314042E-2</v>
      </c>
      <c r="Q108" s="11">
        <f t="shared" si="24"/>
        <v>41075.243999999999</v>
      </c>
      <c r="R108">
        <f t="shared" si="25"/>
        <v>1.314973752470274E-5</v>
      </c>
      <c r="S108">
        <v>1</v>
      </c>
      <c r="T108">
        <f t="shared" si="26"/>
        <v>1.314973752470274E-5</v>
      </c>
    </row>
    <row r="109" spans="1:20">
      <c r="A109" s="140" t="s">
        <v>408</v>
      </c>
      <c r="B109" s="141" t="s">
        <v>41</v>
      </c>
      <c r="C109" s="142">
        <v>56093.743999999999</v>
      </c>
      <c r="D109" s="142" t="s">
        <v>213</v>
      </c>
      <c r="E109" s="10">
        <f t="shared" si="27"/>
        <v>31555.889740568782</v>
      </c>
      <c r="F109">
        <f t="shared" si="29"/>
        <v>31556</v>
      </c>
      <c r="G109" s="9">
        <f t="shared" si="28"/>
        <v>-3.9501320003182627E-2</v>
      </c>
      <c r="K109" s="9">
        <f t="shared" si="30"/>
        <v>-3.9501320003182627E-2</v>
      </c>
      <c r="O109" s="9">
        <f t="shared" ca="1" si="22"/>
        <v>-4.2236930022130192E-2</v>
      </c>
      <c r="P109" s="9">
        <f t="shared" si="23"/>
        <v>-4.3127576685314042E-2</v>
      </c>
      <c r="Q109" s="11">
        <f t="shared" si="24"/>
        <v>41075.243999999999</v>
      </c>
      <c r="R109">
        <f t="shared" si="25"/>
        <v>1.314973752470274E-5</v>
      </c>
      <c r="S109">
        <v>1</v>
      </c>
      <c r="T109">
        <f t="shared" si="26"/>
        <v>1.314973752470274E-5</v>
      </c>
    </row>
    <row r="110" spans="1:20">
      <c r="A110" s="202" t="s">
        <v>2</v>
      </c>
      <c r="B110" s="203" t="s">
        <v>41</v>
      </c>
      <c r="C110" s="202">
        <v>56781.051099999808</v>
      </c>
      <c r="D110" s="202" t="s">
        <v>366</v>
      </c>
      <c r="E110" s="10">
        <f t="shared" si="27"/>
        <v>33474.359551581801</v>
      </c>
      <c r="F110">
        <f t="shared" si="29"/>
        <v>33474.5</v>
      </c>
      <c r="G110" s="9">
        <f t="shared" si="28"/>
        <v>-5.0316765191382729E-2</v>
      </c>
      <c r="K110" s="9">
        <f t="shared" si="30"/>
        <v>-5.0316765191382729E-2</v>
      </c>
      <c r="O110" s="9">
        <f t="shared" ca="1" si="22"/>
        <v>-4.8924716010309191E-2</v>
      </c>
      <c r="P110" s="9">
        <f t="shared" si="23"/>
        <v>-5.2603285004768199E-2</v>
      </c>
      <c r="Q110" s="11">
        <f t="shared" si="24"/>
        <v>41762.551099999808</v>
      </c>
      <c r="R110">
        <f t="shared" si="25"/>
        <v>5.2281728570043286E-6</v>
      </c>
      <c r="S110">
        <v>1</v>
      </c>
      <c r="T110">
        <f t="shared" si="26"/>
        <v>5.2281728570043286E-6</v>
      </c>
    </row>
    <row r="111" spans="1:20">
      <c r="A111" s="202" t="s">
        <v>2</v>
      </c>
      <c r="B111" s="203" t="s">
        <v>41</v>
      </c>
      <c r="C111" s="202">
        <v>56788.217199999839</v>
      </c>
      <c r="D111" s="202" t="s">
        <v>121</v>
      </c>
      <c r="E111" s="10">
        <f t="shared" si="27"/>
        <v>33494.362177064308</v>
      </c>
      <c r="F111">
        <f t="shared" si="29"/>
        <v>33494.5</v>
      </c>
      <c r="G111" s="9">
        <f t="shared" si="28"/>
        <v>-4.9376165159628727E-2</v>
      </c>
      <c r="K111" s="9">
        <f t="shared" si="30"/>
        <v>-4.9376165159628727E-2</v>
      </c>
      <c r="O111" s="9">
        <f t="shared" ca="1" si="22"/>
        <v>-4.8994434915580795E-2</v>
      </c>
      <c r="P111" s="9">
        <f t="shared" si="23"/>
        <v>-5.2706449099817046E-2</v>
      </c>
      <c r="Q111" s="11">
        <f t="shared" si="24"/>
        <v>41769.717199999839</v>
      </c>
      <c r="R111">
        <f t="shared" si="25"/>
        <v>1.1090791122276237E-5</v>
      </c>
      <c r="S111">
        <v>1</v>
      </c>
      <c r="T111">
        <f t="shared" si="26"/>
        <v>1.1090791122276237E-5</v>
      </c>
    </row>
    <row r="112" spans="1:20">
      <c r="A112" s="200" t="s">
        <v>439</v>
      </c>
      <c r="B112" s="201" t="s">
        <v>41</v>
      </c>
      <c r="C112" s="200">
        <v>57164.027399999999</v>
      </c>
      <c r="D112" s="200" t="s">
        <v>366</v>
      </c>
      <c r="E112" s="10">
        <f t="shared" si="27"/>
        <v>34543.35544858918</v>
      </c>
      <c r="F112">
        <f t="shared" si="29"/>
        <v>34543.5</v>
      </c>
      <c r="G112" s="9">
        <f t="shared" si="28"/>
        <v>-5.1786695003102068E-2</v>
      </c>
      <c r="K112" s="9">
        <f t="shared" si="30"/>
        <v>-5.1786695003102068E-2</v>
      </c>
      <c r="O112" s="9">
        <f t="shared" ref="O112:O124" ca="1" si="31">+C$11+C$12*F112</f>
        <v>-5.2651191497076644E-2</v>
      </c>
      <c r="P112" s="9">
        <f t="shared" ref="P112:P124" si="32">+D$11+D$12*F112+D$13*F112^2</f>
        <v>-5.8244139762528374E-2</v>
      </c>
      <c r="Q112" s="11">
        <f t="shared" ref="Q112:Q124" si="33">+C112-15018.5</f>
        <v>42145.527399999999</v>
      </c>
      <c r="R112">
        <f t="shared" ref="R112:R124" si="34">+(P112-G112)^2</f>
        <v>4.1698592821042269E-5</v>
      </c>
      <c r="S112">
        <v>1</v>
      </c>
      <c r="T112">
        <f t="shared" ref="T112:T124" si="35">S112*R112</f>
        <v>4.1698592821042269E-5</v>
      </c>
    </row>
    <row r="113" spans="1:20">
      <c r="A113" s="202" t="s">
        <v>1</v>
      </c>
      <c r="B113" s="203" t="s">
        <v>39</v>
      </c>
      <c r="C113" s="202">
        <v>57527.111900000004</v>
      </c>
      <c r="D113" s="202" t="s">
        <v>121</v>
      </c>
      <c r="E113" s="10">
        <f t="shared" si="27"/>
        <v>35556.827668062775</v>
      </c>
      <c r="F113">
        <f t="shared" si="29"/>
        <v>35557</v>
      </c>
      <c r="G113" s="9">
        <f t="shared" si="28"/>
        <v>-6.1739289994875435E-2</v>
      </c>
      <c r="K113" s="9">
        <f t="shared" si="30"/>
        <v>-6.1739289994875435E-2</v>
      </c>
      <c r="O113" s="9">
        <f t="shared" ca="1" si="31"/>
        <v>-5.6184197021715371E-2</v>
      </c>
      <c r="P113" s="9">
        <f t="shared" si="32"/>
        <v>-6.3830667329671784E-2</v>
      </c>
      <c r="Q113" s="11">
        <f t="shared" si="33"/>
        <v>42508.611900000004</v>
      </c>
      <c r="R113">
        <f t="shared" si="34"/>
        <v>4.3738591564998793E-6</v>
      </c>
      <c r="S113">
        <v>1</v>
      </c>
      <c r="T113">
        <f t="shared" si="35"/>
        <v>4.3738591564998793E-6</v>
      </c>
    </row>
    <row r="114" spans="1:20">
      <c r="A114" s="202" t="s">
        <v>1</v>
      </c>
      <c r="B114" s="203" t="s">
        <v>39</v>
      </c>
      <c r="C114" s="202">
        <v>57527.1126</v>
      </c>
      <c r="D114" s="202" t="s">
        <v>58</v>
      </c>
      <c r="E114" s="10">
        <f t="shared" si="27"/>
        <v>35556.829621962075</v>
      </c>
      <c r="F114">
        <f t="shared" si="29"/>
        <v>35557</v>
      </c>
      <c r="G114" s="9">
        <f t="shared" si="28"/>
        <v>-6.1039289998007007E-2</v>
      </c>
      <c r="K114" s="9">
        <f t="shared" si="30"/>
        <v>-6.1039289998007007E-2</v>
      </c>
      <c r="O114" s="9">
        <f t="shared" ca="1" si="31"/>
        <v>-5.6184197021715371E-2</v>
      </c>
      <c r="P114" s="9">
        <f t="shared" si="32"/>
        <v>-6.3830667329671784E-2</v>
      </c>
      <c r="Q114" s="11">
        <f t="shared" si="33"/>
        <v>42508.6126</v>
      </c>
      <c r="R114">
        <f t="shared" si="34"/>
        <v>7.7917874077319689E-6</v>
      </c>
      <c r="S114">
        <v>1</v>
      </c>
      <c r="T114">
        <f t="shared" si="35"/>
        <v>7.7917874077319689E-6</v>
      </c>
    </row>
    <row r="115" spans="1:20">
      <c r="A115" s="202" t="s">
        <v>1</v>
      </c>
      <c r="B115" s="203" t="s">
        <v>39</v>
      </c>
      <c r="C115" s="202">
        <v>57527.113299999997</v>
      </c>
      <c r="D115" s="202" t="s">
        <v>366</v>
      </c>
      <c r="E115" s="10">
        <f t="shared" si="27"/>
        <v>35556.831575861375</v>
      </c>
      <c r="F115">
        <f t="shared" si="29"/>
        <v>35557</v>
      </c>
      <c r="G115" s="9">
        <f t="shared" si="28"/>
        <v>-6.0339290001138579E-2</v>
      </c>
      <c r="K115" s="9">
        <f t="shared" si="30"/>
        <v>-6.0339290001138579E-2</v>
      </c>
      <c r="O115" s="9">
        <f t="shared" ca="1" si="31"/>
        <v>-5.6184197021715371E-2</v>
      </c>
      <c r="P115" s="9">
        <f t="shared" si="32"/>
        <v>-6.3830667329671784E-2</v>
      </c>
      <c r="Q115" s="11">
        <f t="shared" si="33"/>
        <v>42508.613299999997</v>
      </c>
      <c r="R115">
        <f t="shared" si="34"/>
        <v>1.2189715650195655E-5</v>
      </c>
      <c r="S115">
        <v>1</v>
      </c>
      <c r="T115">
        <f t="shared" si="35"/>
        <v>1.2189715650195655E-5</v>
      </c>
    </row>
    <row r="116" spans="1:20">
      <c r="A116" s="202" t="s">
        <v>0</v>
      </c>
      <c r="B116" s="203" t="s">
        <v>41</v>
      </c>
      <c r="C116" s="202">
        <v>58335.691599999998</v>
      </c>
      <c r="D116" s="202">
        <v>4.0000000000000002E-4</v>
      </c>
      <c r="E116" s="10">
        <f t="shared" si="27"/>
        <v>37813.803835264283</v>
      </c>
      <c r="F116">
        <f t="shared" si="29"/>
        <v>37814</v>
      </c>
      <c r="G116" s="9">
        <f t="shared" si="28"/>
        <v>-7.0277580001857132E-2</v>
      </c>
      <c r="K116" s="9">
        <f t="shared" si="30"/>
        <v>-7.0277580001857132E-2</v>
      </c>
      <c r="O116" s="9">
        <f t="shared" ca="1" si="31"/>
        <v>-6.4051975481616341E-2</v>
      </c>
      <c r="P116" s="9">
        <f t="shared" si="32"/>
        <v>-7.7105737610395492E-2</v>
      </c>
      <c r="Q116" s="11">
        <f t="shared" si="33"/>
        <v>43317.191599999998</v>
      </c>
      <c r="R116">
        <f t="shared" si="34"/>
        <v>4.6623736327040292E-5</v>
      </c>
      <c r="S116">
        <v>1</v>
      </c>
      <c r="T116">
        <f t="shared" si="35"/>
        <v>4.6623736327040292E-5</v>
      </c>
    </row>
    <row r="117" spans="1:20">
      <c r="A117" s="204" t="s">
        <v>440</v>
      </c>
      <c r="B117" s="201" t="s">
        <v>39</v>
      </c>
      <c r="C117" s="200">
        <v>58946.159</v>
      </c>
      <c r="D117" s="200" t="s">
        <v>366</v>
      </c>
      <c r="E117" s="10">
        <f t="shared" ref="E117:E124" si="36">+(C117-C$7)/C$8</f>
        <v>39517.792165237799</v>
      </c>
      <c r="F117">
        <f t="shared" si="29"/>
        <v>39518</v>
      </c>
      <c r="G117" s="9">
        <f t="shared" ref="G117:G124" si="37">+C117-(C$7+F117*C$8)</f>
        <v>-7.4458460003370419E-2</v>
      </c>
      <c r="K117" s="9">
        <f t="shared" si="30"/>
        <v>-7.4458460003370419E-2</v>
      </c>
      <c r="O117" s="9">
        <f t="shared" ca="1" si="31"/>
        <v>-6.9992026210757341E-2</v>
      </c>
      <c r="P117" s="9">
        <f t="shared" si="32"/>
        <v>-8.7891015567992586E-2</v>
      </c>
      <c r="Q117" s="11">
        <f t="shared" si="33"/>
        <v>43927.659</v>
      </c>
      <c r="R117">
        <f t="shared" si="34"/>
        <v>1.8043354899666196E-4</v>
      </c>
      <c r="S117">
        <v>1</v>
      </c>
      <c r="T117">
        <f t="shared" si="35"/>
        <v>1.8043354899666196E-4</v>
      </c>
    </row>
    <row r="118" spans="1:20">
      <c r="A118" s="204" t="s">
        <v>440</v>
      </c>
      <c r="B118" s="201" t="s">
        <v>39</v>
      </c>
      <c r="C118" s="200">
        <v>58946.161</v>
      </c>
      <c r="D118" s="200" t="s">
        <v>58</v>
      </c>
      <c r="E118" s="10">
        <f t="shared" si="36"/>
        <v>39517.797747807257</v>
      </c>
      <c r="F118">
        <f t="shared" si="29"/>
        <v>39518</v>
      </c>
      <c r="G118" s="9">
        <f t="shared" si="37"/>
        <v>-7.2458460002962966E-2</v>
      </c>
      <c r="K118" s="9">
        <f t="shared" si="30"/>
        <v>-7.2458460002962966E-2</v>
      </c>
      <c r="O118" s="9">
        <f t="shared" ca="1" si="31"/>
        <v>-6.9992026210757341E-2</v>
      </c>
      <c r="P118" s="9">
        <f t="shared" si="32"/>
        <v>-8.7891015567992586E-2</v>
      </c>
      <c r="Q118" s="11">
        <f t="shared" si="33"/>
        <v>43927.661</v>
      </c>
      <c r="R118">
        <f t="shared" si="34"/>
        <v>2.3816377126772672E-4</v>
      </c>
      <c r="S118">
        <v>1</v>
      </c>
      <c r="T118">
        <f t="shared" si="35"/>
        <v>2.3816377126772672E-4</v>
      </c>
    </row>
    <row r="119" spans="1:20">
      <c r="A119" s="204" t="s">
        <v>440</v>
      </c>
      <c r="B119" s="201" t="s">
        <v>39</v>
      </c>
      <c r="C119" s="200">
        <v>58946.161</v>
      </c>
      <c r="D119" s="200" t="s">
        <v>121</v>
      </c>
      <c r="E119" s="10">
        <f t="shared" si="36"/>
        <v>39517.797747807257</v>
      </c>
      <c r="F119">
        <f t="shared" si="29"/>
        <v>39518</v>
      </c>
      <c r="G119" s="9">
        <f t="shared" si="37"/>
        <v>-7.2458460002962966E-2</v>
      </c>
      <c r="K119" s="9">
        <f t="shared" si="30"/>
        <v>-7.2458460002962966E-2</v>
      </c>
      <c r="O119" s="9">
        <f t="shared" ca="1" si="31"/>
        <v>-6.9992026210757341E-2</v>
      </c>
      <c r="P119" s="9">
        <f t="shared" si="32"/>
        <v>-8.7891015567992586E-2</v>
      </c>
      <c r="Q119" s="11">
        <f t="shared" si="33"/>
        <v>43927.661</v>
      </c>
      <c r="R119">
        <f t="shared" si="34"/>
        <v>2.3816377126772672E-4</v>
      </c>
      <c r="S119">
        <v>1</v>
      </c>
      <c r="T119">
        <f t="shared" si="35"/>
        <v>2.3816377126772672E-4</v>
      </c>
    </row>
    <row r="120" spans="1:20">
      <c r="A120" s="204" t="s">
        <v>440</v>
      </c>
      <c r="B120" s="201" t="s">
        <v>39</v>
      </c>
      <c r="C120" s="200">
        <v>58965.147199999999</v>
      </c>
      <c r="D120" s="200" t="s">
        <v>366</v>
      </c>
      <c r="E120" s="10">
        <f t="shared" si="36"/>
        <v>39570.793637891707</v>
      </c>
      <c r="F120">
        <f t="shared" si="29"/>
        <v>39571</v>
      </c>
      <c r="G120" s="9">
        <f t="shared" si="37"/>
        <v>-7.3930869999458082E-2</v>
      </c>
      <c r="K120" s="9">
        <f t="shared" si="30"/>
        <v>-7.3930869999458082E-2</v>
      </c>
      <c r="O120" s="9">
        <f t="shared" ca="1" si="31"/>
        <v>-7.0176781309727099E-2</v>
      </c>
      <c r="P120" s="9">
        <f t="shared" si="32"/>
        <v>-8.8236997310211548E-2</v>
      </c>
      <c r="Q120" s="11">
        <f t="shared" si="33"/>
        <v>43946.647199999999</v>
      </c>
      <c r="R120">
        <f t="shared" si="34"/>
        <v>2.0466527863148622E-4</v>
      </c>
      <c r="S120">
        <v>1</v>
      </c>
      <c r="T120">
        <f t="shared" si="35"/>
        <v>2.0466527863148622E-4</v>
      </c>
    </row>
    <row r="121" spans="1:20">
      <c r="A121" s="204" t="s">
        <v>440</v>
      </c>
      <c r="B121" s="201" t="s">
        <v>39</v>
      </c>
      <c r="C121" s="200">
        <v>58965.147400000002</v>
      </c>
      <c r="D121" s="200" t="s">
        <v>121</v>
      </c>
      <c r="E121" s="10">
        <f t="shared" si="36"/>
        <v>39570.794196148665</v>
      </c>
      <c r="F121">
        <f t="shared" si="29"/>
        <v>39571</v>
      </c>
      <c r="G121" s="9">
        <f t="shared" si="37"/>
        <v>-7.3730869997234549E-2</v>
      </c>
      <c r="K121" s="9">
        <f t="shared" si="30"/>
        <v>-7.3730869997234549E-2</v>
      </c>
      <c r="O121" s="9">
        <f t="shared" ca="1" si="31"/>
        <v>-7.0176781309727099E-2</v>
      </c>
      <c r="P121" s="9">
        <f t="shared" si="32"/>
        <v>-8.8236997310211548E-2</v>
      </c>
      <c r="Q121" s="11">
        <f t="shared" si="33"/>
        <v>43946.647400000002</v>
      </c>
      <c r="R121">
        <f t="shared" si="34"/>
        <v>2.1042772962029729E-4</v>
      </c>
      <c r="S121">
        <v>1</v>
      </c>
      <c r="T121">
        <f t="shared" si="35"/>
        <v>2.1042772962029729E-4</v>
      </c>
    </row>
    <row r="122" spans="1:20">
      <c r="A122" s="204" t="s">
        <v>440</v>
      </c>
      <c r="B122" s="201" t="s">
        <v>39</v>
      </c>
      <c r="C122" s="200">
        <v>58965.150099999999</v>
      </c>
      <c r="D122" s="200" t="s">
        <v>58</v>
      </c>
      <c r="E122" s="10">
        <f t="shared" si="36"/>
        <v>39570.801732617416</v>
      </c>
      <c r="F122">
        <f t="shared" si="29"/>
        <v>39571</v>
      </c>
      <c r="G122" s="9">
        <f t="shared" si="37"/>
        <v>-7.1030869999958668E-2</v>
      </c>
      <c r="K122" s="9">
        <f t="shared" si="30"/>
        <v>-7.1030869999958668E-2</v>
      </c>
      <c r="O122" s="9">
        <f t="shared" ca="1" si="31"/>
        <v>-7.0176781309727099E-2</v>
      </c>
      <c r="P122" s="9">
        <f t="shared" si="32"/>
        <v>-8.8236997310211548E-2</v>
      </c>
      <c r="Q122" s="11">
        <f t="shared" si="33"/>
        <v>43946.650099999999</v>
      </c>
      <c r="R122">
        <f t="shared" si="34"/>
        <v>2.9605081701663004E-4</v>
      </c>
      <c r="S122">
        <v>1</v>
      </c>
      <c r="T122">
        <f t="shared" si="35"/>
        <v>2.9605081701663004E-4</v>
      </c>
    </row>
    <row r="123" spans="1:20">
      <c r="A123" s="204" t="s">
        <v>440</v>
      </c>
      <c r="B123" s="201" t="s">
        <v>41</v>
      </c>
      <c r="C123" s="200">
        <v>58993.991999999998</v>
      </c>
      <c r="D123" s="200" t="s">
        <v>366</v>
      </c>
      <c r="E123" s="10">
        <f t="shared" si="36"/>
        <v>39651.307687586122</v>
      </c>
      <c r="F123">
        <f t="shared" si="29"/>
        <v>39651.5</v>
      </c>
      <c r="G123" s="9">
        <f t="shared" si="37"/>
        <v>-6.8897454999387264E-2</v>
      </c>
      <c r="K123" s="9">
        <f t="shared" si="30"/>
        <v>-6.8897454999387264E-2</v>
      </c>
      <c r="O123" s="9">
        <f t="shared" ca="1" si="31"/>
        <v>-7.0457399903445322E-2</v>
      </c>
      <c r="P123" s="9">
        <f t="shared" si="32"/>
        <v>-8.8763712434510408E-2</v>
      </c>
      <c r="Q123" s="11">
        <f t="shared" si="33"/>
        <v>43975.491999999998</v>
      </c>
      <c r="R123">
        <f t="shared" si="34"/>
        <v>3.946681844785856E-4</v>
      </c>
      <c r="S123">
        <v>1</v>
      </c>
      <c r="T123">
        <f t="shared" si="35"/>
        <v>3.946681844785856E-4</v>
      </c>
    </row>
    <row r="124" spans="1:20">
      <c r="A124" s="204" t="s">
        <v>440</v>
      </c>
      <c r="B124" s="201" t="s">
        <v>41</v>
      </c>
      <c r="C124" s="200">
        <v>58999.006999999998</v>
      </c>
      <c r="D124" s="200" t="s">
        <v>366</v>
      </c>
      <c r="E124" s="10">
        <f t="shared" si="36"/>
        <v>39665.305980492209</v>
      </c>
      <c r="F124">
        <f t="shared" si="29"/>
        <v>39665.5</v>
      </c>
      <c r="G124" s="9">
        <f t="shared" si="37"/>
        <v>-6.9509035005467013E-2</v>
      </c>
      <c r="K124" s="9">
        <f t="shared" si="30"/>
        <v>-6.9509035005467013E-2</v>
      </c>
      <c r="O124" s="9">
        <f t="shared" ca="1" si="31"/>
        <v>-7.0506203137135459E-2</v>
      </c>
      <c r="P124" s="9">
        <f t="shared" si="32"/>
        <v>-8.8855464584852412E-2</v>
      </c>
      <c r="Q124" s="11">
        <f t="shared" si="33"/>
        <v>43980.506999999998</v>
      </c>
      <c r="R124">
        <f t="shared" si="34"/>
        <v>3.7428433747011832E-4</v>
      </c>
      <c r="S124">
        <v>1</v>
      </c>
      <c r="T124">
        <f t="shared" si="35"/>
        <v>3.7428433747011832E-4</v>
      </c>
    </row>
    <row r="125" spans="1:20">
      <c r="A125" s="205" t="s">
        <v>441</v>
      </c>
      <c r="B125" s="206" t="s">
        <v>39</v>
      </c>
      <c r="C125" s="207">
        <v>59264.296000000089</v>
      </c>
      <c r="D125" s="205" t="s">
        <v>366</v>
      </c>
      <c r="E125" s="10">
        <f t="shared" ref="E125:E129" si="38">+(C125-C$7)/C$8</f>
        <v>40405.803114443173</v>
      </c>
      <c r="F125">
        <f t="shared" si="29"/>
        <v>40406</v>
      </c>
      <c r="G125" s="9">
        <f t="shared" ref="G125:G129" si="39">+C125-(C$7+F125*C$8)</f>
        <v>-7.0535819912038278E-2</v>
      </c>
      <c r="K125" s="9">
        <f t="shared" ref="K125:K129" si="40">+G125</f>
        <v>-7.0535819912038278E-2</v>
      </c>
      <c r="O125" s="9">
        <f t="shared" ref="O125:O129" ca="1" si="41">+C$11+C$12*F125</f>
        <v>-7.3087545604816756E-2</v>
      </c>
      <c r="P125" s="9">
        <f t="shared" ref="P125:P129" si="42">+D$11+D$12*F125+D$13*F125^2</f>
        <v>-9.377164076536651E-2</v>
      </c>
      <c r="Q125" s="11">
        <f t="shared" ref="Q125:Q129" si="43">+C125-15018.5</f>
        <v>44245.796000000089</v>
      </c>
      <c r="R125">
        <f t="shared" ref="R125:R129" si="44">+(P125-G125)^2</f>
        <v>5.3990337072796308E-4</v>
      </c>
      <c r="S125">
        <v>1</v>
      </c>
      <c r="T125">
        <f t="shared" ref="T125:T129" si="45">S125*R125</f>
        <v>5.3990337072796308E-4</v>
      </c>
    </row>
    <row r="126" spans="1:20">
      <c r="A126" s="205" t="s">
        <v>441</v>
      </c>
      <c r="B126" s="206" t="s">
        <v>39</v>
      </c>
      <c r="C126" s="207">
        <v>59264.297999999952</v>
      </c>
      <c r="D126" s="205" t="s">
        <v>58</v>
      </c>
      <c r="E126" s="10">
        <f t="shared" si="38"/>
        <v>40405.808697012246</v>
      </c>
      <c r="F126">
        <f t="shared" si="29"/>
        <v>40406</v>
      </c>
      <c r="G126" s="9">
        <f t="shared" si="39"/>
        <v>-6.8535820049874019E-2</v>
      </c>
      <c r="K126" s="9">
        <f t="shared" si="40"/>
        <v>-6.8535820049874019E-2</v>
      </c>
      <c r="O126" s="9">
        <f t="shared" ca="1" si="41"/>
        <v>-7.3087545604816756E-2</v>
      </c>
      <c r="P126" s="9">
        <f t="shared" si="42"/>
        <v>-9.377164076536651E-2</v>
      </c>
      <c r="Q126" s="11">
        <f t="shared" si="43"/>
        <v>44245.797999999952</v>
      </c>
      <c r="R126">
        <f t="shared" si="44"/>
        <v>6.3684664718447988E-4</v>
      </c>
      <c r="S126">
        <v>1</v>
      </c>
      <c r="T126">
        <f t="shared" si="45"/>
        <v>6.3684664718447988E-4</v>
      </c>
    </row>
    <row r="127" spans="1:20">
      <c r="A127" s="205" t="s">
        <v>441</v>
      </c>
      <c r="B127" s="206" t="s">
        <v>39</v>
      </c>
      <c r="C127" s="207">
        <v>59292.23900000006</v>
      </c>
      <c r="D127" s="205" t="s">
        <v>442</v>
      </c>
      <c r="E127" s="10">
        <f t="shared" si="38"/>
        <v>40483.799983570665</v>
      </c>
      <c r="F127">
        <f t="shared" si="29"/>
        <v>40484</v>
      </c>
      <c r="G127" s="9">
        <f t="shared" si="39"/>
        <v>-7.1657479944406077E-2</v>
      </c>
      <c r="K127" s="9">
        <f t="shared" si="40"/>
        <v>-7.1657479944406077E-2</v>
      </c>
      <c r="O127" s="9">
        <f t="shared" ca="1" si="41"/>
        <v>-7.3359449335376026E-2</v>
      </c>
      <c r="P127" s="9">
        <f t="shared" si="42"/>
        <v>-9.4296697689498193E-2</v>
      </c>
      <c r="Q127" s="11">
        <f t="shared" si="43"/>
        <v>44273.73900000006</v>
      </c>
      <c r="R127">
        <f t="shared" si="44"/>
        <v>5.125341801096938E-4</v>
      </c>
      <c r="S127">
        <v>1</v>
      </c>
      <c r="T127">
        <f t="shared" si="45"/>
        <v>5.125341801096938E-4</v>
      </c>
    </row>
    <row r="128" spans="1:20">
      <c r="A128" s="205" t="s">
        <v>441</v>
      </c>
      <c r="B128" s="206" t="s">
        <v>39</v>
      </c>
      <c r="C128" s="207">
        <v>59292.240000000224</v>
      </c>
      <c r="D128" s="205" t="s">
        <v>58</v>
      </c>
      <c r="E128" s="10">
        <f t="shared" si="38"/>
        <v>40483.802774855845</v>
      </c>
      <c r="F128">
        <f t="shared" si="29"/>
        <v>40484</v>
      </c>
      <c r="G128" s="9">
        <f t="shared" si="39"/>
        <v>-7.0657479780493304E-2</v>
      </c>
      <c r="K128" s="9">
        <f t="shared" si="40"/>
        <v>-7.0657479780493304E-2</v>
      </c>
      <c r="O128" s="9">
        <f t="shared" ca="1" si="41"/>
        <v>-7.3359449335376026E-2</v>
      </c>
      <c r="P128" s="9">
        <f t="shared" si="42"/>
        <v>-9.4296697689498193E-2</v>
      </c>
      <c r="Q128" s="11">
        <f t="shared" si="43"/>
        <v>44273.740000000224</v>
      </c>
      <c r="R128">
        <f t="shared" si="44"/>
        <v>5.5881262334941744E-4</v>
      </c>
      <c r="S128">
        <v>1</v>
      </c>
      <c r="T128">
        <f t="shared" si="45"/>
        <v>5.5881262334941744E-4</v>
      </c>
    </row>
    <row r="129" spans="1:20">
      <c r="A129" s="205" t="s">
        <v>441</v>
      </c>
      <c r="B129" s="206" t="s">
        <v>39</v>
      </c>
      <c r="C129" s="207">
        <v>59292.242999999784</v>
      </c>
      <c r="D129" s="205" t="s">
        <v>120</v>
      </c>
      <c r="E129" s="10">
        <f t="shared" si="38"/>
        <v>40483.811148708803</v>
      </c>
      <c r="F129">
        <f t="shared" si="29"/>
        <v>40484</v>
      </c>
      <c r="G129" s="9">
        <f t="shared" si="39"/>
        <v>-6.7657480220077559E-2</v>
      </c>
      <c r="K129" s="9">
        <f t="shared" si="40"/>
        <v>-6.7657480220077559E-2</v>
      </c>
      <c r="O129" s="9">
        <f t="shared" ca="1" si="41"/>
        <v>-7.3359449335376026E-2</v>
      </c>
      <c r="P129" s="9">
        <f t="shared" si="42"/>
        <v>-9.4296697689498193E-2</v>
      </c>
      <c r="Q129" s="11">
        <f t="shared" si="43"/>
        <v>44273.742999999784</v>
      </c>
      <c r="R129">
        <f t="shared" si="44"/>
        <v>7.0964790738308554E-4</v>
      </c>
      <c r="S129">
        <v>1</v>
      </c>
      <c r="T129">
        <f t="shared" si="45"/>
        <v>7.0964790738308554E-4</v>
      </c>
    </row>
    <row r="130" spans="1:20">
      <c r="A130" s="208" t="s">
        <v>443</v>
      </c>
      <c r="B130" s="209" t="s">
        <v>39</v>
      </c>
      <c r="C130" s="210">
        <v>59628.276999999769</v>
      </c>
      <c r="D130" s="194"/>
      <c r="E130" s="10">
        <f t="shared" ref="E130:E133" si="46">+(C130-C$7)/C$8</f>
        <v>41421.77772067365</v>
      </c>
      <c r="F130">
        <f t="shared" ref="F130:F133" si="47">ROUND(2*E130,0)/2</f>
        <v>41422</v>
      </c>
      <c r="G130" s="9">
        <f t="shared" ref="G130:G133" si="48">+C130-(C$7+F130*C$8)</f>
        <v>-7.9633340232248884E-2</v>
      </c>
      <c r="K130" s="9">
        <f t="shared" ref="K130:K133" si="49">+G130</f>
        <v>-7.9633340232248884E-2</v>
      </c>
      <c r="O130" s="9">
        <f t="shared" ref="O130:O133" ca="1" si="50">+C$11+C$12*F130</f>
        <v>-7.6629265992614437E-2</v>
      </c>
      <c r="P130" s="9">
        <f t="shared" ref="P130:P133" si="51">+D$11+D$12*F130+D$13*F130^2</f>
        <v>-0.10071854882923582</v>
      </c>
      <c r="Q130" s="11">
        <f t="shared" ref="Q130:Q133" si="52">+C130-15018.5</f>
        <v>44609.776999999769</v>
      </c>
      <c r="R130">
        <f t="shared" ref="R130:R133" si="53">+(P130-G130)^2</f>
        <v>4.4458602157845199E-4</v>
      </c>
      <c r="S130">
        <v>1</v>
      </c>
      <c r="T130">
        <f t="shared" ref="T130:T133" si="54">S130*R130</f>
        <v>4.4458602157845199E-4</v>
      </c>
    </row>
    <row r="131" spans="1:20">
      <c r="A131" s="208" t="s">
        <v>443</v>
      </c>
      <c r="B131" s="209" t="s">
        <v>39</v>
      </c>
      <c r="C131" s="210">
        <v>59628.277999999933</v>
      </c>
      <c r="D131" s="194"/>
      <c r="E131" s="10">
        <f t="shared" si="46"/>
        <v>41421.780511958837</v>
      </c>
      <c r="F131">
        <f t="shared" si="47"/>
        <v>41422</v>
      </c>
      <c r="G131" s="9">
        <f t="shared" si="48"/>
        <v>-7.8633340068336111E-2</v>
      </c>
      <c r="K131" s="9">
        <f t="shared" si="49"/>
        <v>-7.8633340068336111E-2</v>
      </c>
      <c r="O131" s="9">
        <f t="shared" ca="1" si="50"/>
        <v>-7.6629265992614437E-2</v>
      </c>
      <c r="P131" s="9">
        <f t="shared" si="51"/>
        <v>-0.10071854882923582</v>
      </c>
      <c r="Q131" s="11">
        <f t="shared" si="52"/>
        <v>44609.777999999933</v>
      </c>
      <c r="R131">
        <f t="shared" si="53"/>
        <v>4.8775644601252145E-4</v>
      </c>
      <c r="S131">
        <v>1</v>
      </c>
      <c r="T131">
        <f t="shared" si="54"/>
        <v>4.8775644601252145E-4</v>
      </c>
    </row>
    <row r="132" spans="1:20">
      <c r="A132" s="208" t="s">
        <v>443</v>
      </c>
      <c r="B132" s="209" t="s">
        <v>39</v>
      </c>
      <c r="C132" s="210">
        <v>59651.195999999996</v>
      </c>
      <c r="D132" s="194"/>
      <c r="E132" s="10">
        <f t="shared" si="46"/>
        <v>41485.751175333229</v>
      </c>
      <c r="F132">
        <f t="shared" si="47"/>
        <v>41486</v>
      </c>
      <c r="G132" s="9">
        <f t="shared" si="48"/>
        <v>-8.9143420002073981E-2</v>
      </c>
      <c r="K132" s="9">
        <f t="shared" si="49"/>
        <v>-8.9143420002073981E-2</v>
      </c>
      <c r="O132" s="9">
        <f t="shared" ca="1" si="50"/>
        <v>-7.685236648948357E-2</v>
      </c>
      <c r="P132" s="9">
        <f t="shared" si="51"/>
        <v>-0.10116396099586146</v>
      </c>
      <c r="Q132" s="11">
        <f t="shared" si="52"/>
        <v>44632.695999999996</v>
      </c>
      <c r="R132">
        <f t="shared" si="53"/>
        <v>1.4449340578332528E-4</v>
      </c>
      <c r="S132">
        <v>1</v>
      </c>
      <c r="T132">
        <f t="shared" si="54"/>
        <v>1.4449340578332528E-4</v>
      </c>
    </row>
    <row r="133" spans="1:20">
      <c r="A133" s="208" t="s">
        <v>443</v>
      </c>
      <c r="B133" s="209" t="s">
        <v>39</v>
      </c>
      <c r="C133" s="210">
        <v>59651.200000000186</v>
      </c>
      <c r="D133" s="194"/>
      <c r="E133" s="10">
        <f t="shared" si="46"/>
        <v>41485.762340472662</v>
      </c>
      <c r="F133">
        <f t="shared" si="47"/>
        <v>41486</v>
      </c>
      <c r="G133" s="9">
        <f t="shared" si="48"/>
        <v>-8.5143419812084176E-2</v>
      </c>
      <c r="K133" s="9">
        <f t="shared" si="49"/>
        <v>-8.5143419812084176E-2</v>
      </c>
      <c r="O133" s="9">
        <f t="shared" ca="1" si="50"/>
        <v>-7.685236648948357E-2</v>
      </c>
      <c r="P133" s="9">
        <f t="shared" si="51"/>
        <v>-0.10116396099586146</v>
      </c>
      <c r="Q133" s="11">
        <f t="shared" si="52"/>
        <v>44632.700000000186</v>
      </c>
      <c r="R133">
        <f t="shared" si="53"/>
        <v>2.566577398211041E-4</v>
      </c>
      <c r="S133">
        <v>1</v>
      </c>
      <c r="T133">
        <f t="shared" si="54"/>
        <v>2.566577398211041E-4</v>
      </c>
    </row>
    <row r="134" spans="1:20">
      <c r="A134" s="138"/>
      <c r="B134" s="138"/>
      <c r="C134" s="194"/>
      <c r="D134" s="194"/>
    </row>
    <row r="135" spans="1:20">
      <c r="A135" s="138"/>
      <c r="B135" s="138"/>
      <c r="C135" s="194"/>
      <c r="D135" s="194"/>
    </row>
    <row r="136" spans="1:20">
      <c r="A136" s="138"/>
      <c r="B136" s="138"/>
      <c r="C136" s="194"/>
      <c r="D136" s="194"/>
    </row>
    <row r="137" spans="1:20">
      <c r="A137" s="138"/>
      <c r="B137" s="138"/>
      <c r="C137" s="194"/>
      <c r="D137" s="194"/>
    </row>
    <row r="138" spans="1:20">
      <c r="A138" s="138"/>
      <c r="B138" s="138"/>
      <c r="C138" s="194"/>
      <c r="D138" s="194"/>
    </row>
    <row r="139" spans="1:20">
      <c r="A139" s="138"/>
      <c r="B139" s="138"/>
      <c r="C139" s="194"/>
      <c r="D139" s="194"/>
    </row>
    <row r="140" spans="1:20">
      <c r="A140" s="138"/>
      <c r="B140" s="138"/>
      <c r="C140" s="194"/>
      <c r="D140" s="194"/>
    </row>
    <row r="141" spans="1:20">
      <c r="A141" s="138"/>
      <c r="B141" s="138"/>
      <c r="C141" s="194"/>
      <c r="D141" s="194"/>
    </row>
    <row r="142" spans="1:20">
      <c r="A142" s="138"/>
      <c r="B142" s="138"/>
      <c r="C142" s="194"/>
      <c r="D142" s="194"/>
    </row>
    <row r="143" spans="1:20">
      <c r="A143" s="138"/>
      <c r="B143" s="138"/>
      <c r="C143" s="194"/>
      <c r="D143" s="194"/>
    </row>
    <row r="144" spans="1:20">
      <c r="A144" s="138"/>
      <c r="B144" s="138"/>
      <c r="C144" s="194"/>
      <c r="D144" s="194"/>
    </row>
    <row r="145" spans="1:4">
      <c r="A145" s="138"/>
      <c r="B145" s="138"/>
      <c r="C145" s="194"/>
      <c r="D145" s="194"/>
    </row>
    <row r="146" spans="1:4">
      <c r="A146" s="138"/>
      <c r="B146" s="138"/>
      <c r="C146" s="194"/>
      <c r="D146" s="194"/>
    </row>
    <row r="147" spans="1:4">
      <c r="A147" s="138"/>
      <c r="B147" s="138"/>
      <c r="C147" s="194"/>
      <c r="D147" s="194"/>
    </row>
    <row r="148" spans="1:4">
      <c r="A148" s="138"/>
      <c r="B148" s="138"/>
      <c r="C148" s="194"/>
      <c r="D148" s="194"/>
    </row>
    <row r="149" spans="1:4">
      <c r="A149" s="138"/>
      <c r="B149" s="138"/>
      <c r="C149" s="194"/>
      <c r="D149" s="194"/>
    </row>
    <row r="150" spans="1:4">
      <c r="A150" s="138"/>
      <c r="B150" s="138"/>
      <c r="C150" s="194"/>
      <c r="D150" s="194"/>
    </row>
    <row r="151" spans="1:4">
      <c r="A151" s="138"/>
      <c r="B151" s="138"/>
      <c r="C151" s="194"/>
      <c r="D151" s="194"/>
    </row>
    <row r="152" spans="1:4">
      <c r="A152" s="138"/>
      <c r="B152" s="138"/>
      <c r="C152" s="194"/>
      <c r="D152" s="194"/>
    </row>
    <row r="153" spans="1:4">
      <c r="A153" s="138"/>
      <c r="B153" s="138"/>
      <c r="C153" s="194"/>
      <c r="D153" s="194"/>
    </row>
    <row r="154" spans="1:4">
      <c r="A154" s="138"/>
      <c r="B154" s="138"/>
      <c r="C154" s="194"/>
      <c r="D154" s="194"/>
    </row>
    <row r="155" spans="1:4">
      <c r="A155" s="138"/>
      <c r="B155" s="138"/>
      <c r="C155" s="194"/>
      <c r="D155" s="194"/>
    </row>
    <row r="156" spans="1:4">
      <c r="A156" s="138"/>
      <c r="B156" s="138"/>
      <c r="C156" s="194"/>
      <c r="D156" s="194"/>
    </row>
    <row r="157" spans="1:4">
      <c r="A157" s="138"/>
      <c r="B157" s="138"/>
      <c r="C157" s="194"/>
      <c r="D157" s="194"/>
    </row>
    <row r="158" spans="1:4">
      <c r="A158" s="138"/>
      <c r="B158" s="138"/>
      <c r="C158" s="194"/>
      <c r="D158" s="194"/>
    </row>
    <row r="159" spans="1:4">
      <c r="A159" s="138"/>
      <c r="B159" s="138"/>
      <c r="C159" s="194"/>
      <c r="D159" s="194"/>
    </row>
    <row r="160" spans="1:4">
      <c r="A160" s="138"/>
      <c r="B160" s="138"/>
      <c r="C160" s="194"/>
      <c r="D160" s="194"/>
    </row>
    <row r="161" spans="1:4">
      <c r="A161" s="138"/>
      <c r="B161" s="138"/>
      <c r="C161" s="194"/>
      <c r="D161" s="194"/>
    </row>
    <row r="162" spans="1:4">
      <c r="A162" s="138"/>
      <c r="B162" s="138"/>
      <c r="C162" s="194"/>
      <c r="D162" s="194"/>
    </row>
    <row r="163" spans="1:4">
      <c r="A163" s="138"/>
      <c r="B163" s="138"/>
      <c r="C163" s="194"/>
      <c r="D163" s="194"/>
    </row>
    <row r="164" spans="1:4">
      <c r="A164" s="138"/>
      <c r="B164" s="138"/>
      <c r="C164" s="194"/>
      <c r="D164" s="194"/>
    </row>
    <row r="165" spans="1:4">
      <c r="A165" s="138"/>
      <c r="B165" s="138"/>
      <c r="C165" s="194"/>
      <c r="D165" s="194"/>
    </row>
    <row r="166" spans="1:4">
      <c r="A166" s="138"/>
      <c r="B166" s="138"/>
      <c r="C166" s="194"/>
      <c r="D166" s="194"/>
    </row>
    <row r="167" spans="1:4">
      <c r="A167" s="138"/>
      <c r="B167" s="138"/>
      <c r="C167" s="194"/>
      <c r="D167" s="194"/>
    </row>
    <row r="168" spans="1:4">
      <c r="A168" s="138"/>
      <c r="B168" s="138"/>
      <c r="C168" s="194"/>
      <c r="D168" s="194"/>
    </row>
    <row r="169" spans="1:4">
      <c r="A169" s="138"/>
      <c r="B169" s="138"/>
      <c r="C169" s="194"/>
      <c r="D169" s="194"/>
    </row>
    <row r="170" spans="1:4">
      <c r="A170" s="138"/>
      <c r="B170" s="138"/>
      <c r="C170" s="194"/>
      <c r="D170" s="194"/>
    </row>
    <row r="171" spans="1:4">
      <c r="A171" s="138"/>
      <c r="B171" s="138"/>
      <c r="C171" s="194"/>
      <c r="D171" s="194"/>
    </row>
    <row r="172" spans="1:4">
      <c r="A172" s="138"/>
      <c r="B172" s="138"/>
      <c r="C172" s="194"/>
      <c r="D172" s="194"/>
    </row>
    <row r="173" spans="1:4">
      <c r="A173" s="138"/>
      <c r="B173" s="138"/>
      <c r="C173" s="194"/>
      <c r="D173" s="194"/>
    </row>
    <row r="174" spans="1:4">
      <c r="A174" s="138"/>
      <c r="B174" s="138"/>
      <c r="C174" s="194"/>
      <c r="D174" s="194"/>
    </row>
    <row r="175" spans="1:4">
      <c r="A175" s="138"/>
      <c r="B175" s="138"/>
      <c r="C175" s="194"/>
      <c r="D175" s="194"/>
    </row>
    <row r="176" spans="1:4">
      <c r="A176" s="138"/>
      <c r="B176" s="138"/>
      <c r="C176" s="194"/>
      <c r="D176" s="194"/>
    </row>
    <row r="177" spans="1:4">
      <c r="A177" s="138"/>
      <c r="B177" s="138"/>
      <c r="C177" s="194"/>
      <c r="D177" s="194"/>
    </row>
    <row r="178" spans="1:4">
      <c r="A178" s="138"/>
      <c r="B178" s="138"/>
      <c r="C178" s="194"/>
      <c r="D178" s="194"/>
    </row>
    <row r="179" spans="1:4">
      <c r="A179" s="138"/>
      <c r="B179" s="138"/>
      <c r="C179" s="194"/>
      <c r="D179" s="194"/>
    </row>
    <row r="180" spans="1:4">
      <c r="A180" s="138"/>
      <c r="B180" s="138"/>
      <c r="C180" s="194"/>
      <c r="D180" s="194"/>
    </row>
    <row r="181" spans="1:4">
      <c r="A181" s="138"/>
      <c r="B181" s="138"/>
      <c r="C181" s="194"/>
      <c r="D181" s="194"/>
    </row>
    <row r="182" spans="1:4">
      <c r="C182" s="14"/>
      <c r="D182" s="14"/>
    </row>
    <row r="183" spans="1:4">
      <c r="C183" s="14"/>
      <c r="D183" s="14"/>
    </row>
    <row r="184" spans="1:4">
      <c r="C184" s="14"/>
      <c r="D184" s="14"/>
    </row>
    <row r="185" spans="1:4">
      <c r="C185" s="14"/>
      <c r="D185" s="14"/>
    </row>
    <row r="186" spans="1:4">
      <c r="C186" s="14"/>
      <c r="D186" s="14"/>
    </row>
    <row r="187" spans="1:4">
      <c r="C187" s="14"/>
      <c r="D187" s="14"/>
    </row>
    <row r="188" spans="1:4">
      <c r="C188" s="14"/>
      <c r="D188" s="14"/>
    </row>
    <row r="189" spans="1:4">
      <c r="C189" s="14"/>
      <c r="D189" s="14"/>
    </row>
    <row r="190" spans="1:4">
      <c r="C190" s="14"/>
      <c r="D190" s="14"/>
    </row>
    <row r="191" spans="1:4">
      <c r="C191" s="14"/>
      <c r="D191" s="14"/>
    </row>
    <row r="192" spans="1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</sheetData>
  <protectedRanges>
    <protectedRange sqref="A117:D124" name="Range1"/>
  </protectedRange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B340"/>
  <sheetViews>
    <sheetView workbookViewId="0">
      <selection activeCell="E9" sqref="E9"/>
    </sheetView>
  </sheetViews>
  <sheetFormatPr defaultRowHeight="12.75"/>
  <cols>
    <col min="1" max="1" width="9.140625" style="16"/>
    <col min="2" max="2" width="10.7109375" style="16" customWidth="1"/>
    <col min="3" max="4" width="9.140625" style="16"/>
    <col min="5" max="5" width="12.5703125" style="16" customWidth="1"/>
    <col min="6" max="6" width="13.1406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>
      <c r="A1" s="42" t="s">
        <v>51</v>
      </c>
      <c r="D1" s="22" t="s">
        <v>52</v>
      </c>
      <c r="M1" s="43" t="s">
        <v>53</v>
      </c>
      <c r="N1" s="16" t="s">
        <v>54</v>
      </c>
      <c r="O1" s="16">
        <f ca="1">H18*J18-I18*I18</f>
        <v>339117.01987715147</v>
      </c>
      <c r="P1" s="16" t="s">
        <v>168</v>
      </c>
      <c r="U1" s="7" t="s">
        <v>111</v>
      </c>
      <c r="V1" s="70" t="s">
        <v>113</v>
      </c>
      <c r="AA1" s="16">
        <v>1</v>
      </c>
      <c r="AB1" s="16" t="s">
        <v>55</v>
      </c>
    </row>
    <row r="2" spans="1:28">
      <c r="M2" s="43" t="s">
        <v>56</v>
      </c>
      <c r="N2" s="16" t="s">
        <v>57</v>
      </c>
      <c r="O2" s="16">
        <f ca="1">+F18*J18-H18*I18</f>
        <v>58965.643563696562</v>
      </c>
      <c r="P2" s="16" t="s">
        <v>169</v>
      </c>
      <c r="U2" s="16">
        <v>-5</v>
      </c>
      <c r="V2" s="16">
        <f ca="1">+E$4+E$5*U2+E$6*U2^2</f>
        <v>-0.64232062609622997</v>
      </c>
      <c r="AA2" s="16">
        <v>2</v>
      </c>
      <c r="AB2" s="16" t="s">
        <v>58</v>
      </c>
    </row>
    <row r="3" spans="1:28" ht="13.5" thickBot="1">
      <c r="A3" s="16" t="s">
        <v>59</v>
      </c>
      <c r="B3" s="16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M3" s="43" t="s">
        <v>65</v>
      </c>
      <c r="N3" s="16" t="s">
        <v>66</v>
      </c>
      <c r="O3" s="16">
        <f ca="1">+F18*I18-H18*H18</f>
        <v>-26651.081381765791</v>
      </c>
      <c r="P3" s="16" t="s">
        <v>170</v>
      </c>
      <c r="U3" s="16">
        <v>-4.5</v>
      </c>
      <c r="V3" s="16">
        <f ca="1">+E$4+E$5*U3+E$6*U3^2</f>
        <v>-0.54153567111550283</v>
      </c>
      <c r="AA3" s="16">
        <v>3</v>
      </c>
      <c r="AB3" s="16" t="s">
        <v>67</v>
      </c>
    </row>
    <row r="4" spans="1:28">
      <c r="A4" s="16" t="s">
        <v>68</v>
      </c>
      <c r="B4" s="16" t="s">
        <v>69</v>
      </c>
      <c r="D4" s="45" t="s">
        <v>70</v>
      </c>
      <c r="E4" s="46">
        <f ca="1">(G18*O1-K18*O2+L18*O3)/O7</f>
        <v>-1.3150066631145705E-2</v>
      </c>
      <c r="F4" s="47">
        <f ca="1">+E7/O7*O18</f>
        <v>1.7527929081560087E-3</v>
      </c>
      <c r="G4" s="48">
        <f>+B18</f>
        <v>1</v>
      </c>
      <c r="H4" s="49">
        <f ca="1">ABS(F4/E4)</f>
        <v>0.13329156097236414</v>
      </c>
      <c r="M4" s="43" t="s">
        <v>71</v>
      </c>
      <c r="N4" s="16" t="s">
        <v>72</v>
      </c>
      <c r="O4" s="16">
        <f ca="1">+C18*J18-H18*H18</f>
        <v>43218.254673983029</v>
      </c>
      <c r="P4" s="16" t="s">
        <v>171</v>
      </c>
      <c r="U4" s="16">
        <v>-4</v>
      </c>
      <c r="V4" s="16">
        <f t="shared" ref="V4:V18" ca="1" si="0">+E$4+E$5*U4+E$6*U4^2</f>
        <v>-0.44916580480904666</v>
      </c>
      <c r="AA4" s="16">
        <v>4</v>
      </c>
      <c r="AB4" s="16" t="s">
        <v>73</v>
      </c>
    </row>
    <row r="5" spans="1:28">
      <c r="A5" s="16" t="s">
        <v>74</v>
      </c>
      <c r="B5" s="50">
        <v>40323</v>
      </c>
      <c r="D5" s="51" t="s">
        <v>75</v>
      </c>
      <c r="E5" s="52">
        <f ca="1">+(-G18*O2+K18*O4-L18*O5)/O7</f>
        <v>4.1683225150308853E-2</v>
      </c>
      <c r="F5" s="53">
        <f ca="1">P18*E7/O7</f>
        <v>3.7860176122971625E-4</v>
      </c>
      <c r="G5" s="54">
        <f>+B18/A18</f>
        <v>1E-4</v>
      </c>
      <c r="H5" s="49">
        <f ca="1">ABS(F5/E5)</f>
        <v>9.0828327190251249E-3</v>
      </c>
      <c r="M5" s="43" t="s">
        <v>76</v>
      </c>
      <c r="N5" s="16" t="s">
        <v>77</v>
      </c>
      <c r="O5" s="16">
        <f ca="1">+C18*I18-F18*H18</f>
        <v>4715.8916224904169</v>
      </c>
      <c r="P5" s="16" t="s">
        <v>172</v>
      </c>
      <c r="U5" s="16">
        <v>-3.5</v>
      </c>
      <c r="V5" s="16">
        <f t="shared" ca="1" si="0"/>
        <v>-0.36521102717686127</v>
      </c>
      <c r="AA5" s="16">
        <v>5</v>
      </c>
      <c r="AB5" s="16" t="s">
        <v>78</v>
      </c>
    </row>
    <row r="6" spans="1:28" ht="13.5" thickBot="1">
      <c r="D6" s="55" t="s">
        <v>79</v>
      </c>
      <c r="E6" s="56">
        <f ca="1">+(G18*O3-K18*O5+L18*O6)/O7</f>
        <v>-1.6830177348541597E-2</v>
      </c>
      <c r="F6" s="57">
        <f ca="1">Q18*E7/O7</f>
        <v>1.8038790219625871E-4</v>
      </c>
      <c r="G6" s="58">
        <f>+B18/A18^2</f>
        <v>1E-8</v>
      </c>
      <c r="H6" s="49">
        <f ca="1">ABS(F6/E6)</f>
        <v>1.0718122480859659E-2</v>
      </c>
      <c r="M6" s="59" t="s">
        <v>80</v>
      </c>
      <c r="N6" s="60" t="s">
        <v>81</v>
      </c>
      <c r="O6" s="60">
        <f ca="1">+C18*H18-F18*F18</f>
        <v>6311.0042267527479</v>
      </c>
      <c r="P6" s="16" t="s">
        <v>173</v>
      </c>
      <c r="U6" s="16">
        <v>-3</v>
      </c>
      <c r="V6" s="16">
        <f t="shared" ca="1" si="0"/>
        <v>-0.28967133821894664</v>
      </c>
      <c r="AA6" s="16">
        <v>6</v>
      </c>
      <c r="AB6" s="16" t="s">
        <v>82</v>
      </c>
    </row>
    <row r="7" spans="1:28">
      <c r="D7" s="22" t="s">
        <v>83</v>
      </c>
      <c r="E7" s="61">
        <f ca="1">SQRT(N18/(B15-3))</f>
        <v>6.2962179831394741E-3</v>
      </c>
      <c r="G7" s="62">
        <f>+B22</f>
        <v>-0.53217155500533408</v>
      </c>
      <c r="M7" s="43" t="s">
        <v>84</v>
      </c>
      <c r="N7" s="16" t="s">
        <v>85</v>
      </c>
      <c r="O7" s="16">
        <f ca="1">+C18*O1-F18*O2+H18*O3</f>
        <v>4182152.8234609049</v>
      </c>
      <c r="U7" s="16">
        <v>-2.5</v>
      </c>
      <c r="V7" s="16">
        <f t="shared" ca="1" si="0"/>
        <v>-0.22254673793530283</v>
      </c>
      <c r="AA7" s="16">
        <v>7</v>
      </c>
      <c r="AB7" s="16" t="s">
        <v>86</v>
      </c>
    </row>
    <row r="8" spans="1:28">
      <c r="A8" s="32">
        <v>21</v>
      </c>
      <c r="B8" s="16" t="s">
        <v>91</v>
      </c>
      <c r="C8" s="119">
        <v>21</v>
      </c>
      <c r="D8" s="22" t="s">
        <v>87</v>
      </c>
      <c r="F8" s="120">
        <f ca="1">CORREL(INDIRECT(E12):INDIRECT(E13),INDIRECT(M12):INDIRECT(M13))</f>
        <v>0.99810573540683778</v>
      </c>
      <c r="G8" s="61"/>
      <c r="K8" s="62"/>
      <c r="U8" s="16">
        <v>-2</v>
      </c>
      <c r="V8" s="16">
        <f t="shared" ca="1" si="0"/>
        <v>-0.16383722632592979</v>
      </c>
      <c r="AA8" s="16">
        <v>8</v>
      </c>
      <c r="AB8" s="16" t="s">
        <v>88</v>
      </c>
    </row>
    <row r="9" spans="1:28">
      <c r="A9" s="32">
        <f>20+COUNT(A21:A1447)</f>
        <v>104</v>
      </c>
      <c r="B9" s="16" t="s">
        <v>93</v>
      </c>
      <c r="C9" s="119">
        <f>A9</f>
        <v>104</v>
      </c>
      <c r="E9" s="63">
        <f ca="1">E6*G6</f>
        <v>-1.6830177348541596E-10</v>
      </c>
      <c r="F9" s="64">
        <f ca="1">H6</f>
        <v>1.0718122480859659E-2</v>
      </c>
      <c r="G9" s="65">
        <f ca="1">F8</f>
        <v>0.99810573540683778</v>
      </c>
      <c r="K9" s="62"/>
      <c r="U9" s="16">
        <v>-1.5</v>
      </c>
      <c r="V9" s="16">
        <f t="shared" ca="1" si="0"/>
        <v>-0.11354280339082756</v>
      </c>
      <c r="AA9" s="16">
        <v>9</v>
      </c>
      <c r="AB9" s="16" t="s">
        <v>39</v>
      </c>
    </row>
    <row r="10" spans="1:28">
      <c r="A10" s="16" t="s">
        <v>6</v>
      </c>
      <c r="B10" s="88">
        <v>0.35826333999999999</v>
      </c>
      <c r="D10" s="16" t="s">
        <v>162</v>
      </c>
      <c r="E10" s="16">
        <f ca="1">2*E9*365.2422/B10</f>
        <v>-3.4316048084470488E-7</v>
      </c>
      <c r="F10" s="16">
        <f ca="1">+ABS(F9*E10)</f>
        <v>3.6780360642842419E-9</v>
      </c>
      <c r="G10" s="16" t="s">
        <v>163</v>
      </c>
      <c r="U10" s="16">
        <v>-1</v>
      </c>
      <c r="V10" s="16">
        <f t="shared" ca="1" si="0"/>
        <v>-7.166346912999616E-2</v>
      </c>
      <c r="AA10" s="16">
        <v>10</v>
      </c>
      <c r="AB10" s="16" t="s">
        <v>89</v>
      </c>
    </row>
    <row r="11" spans="1:28">
      <c r="U11" s="16">
        <v>-0.5</v>
      </c>
      <c r="V11" s="16">
        <f t="shared" ca="1" si="0"/>
        <v>-3.819922354343553E-2</v>
      </c>
      <c r="AA11" s="16">
        <v>11</v>
      </c>
      <c r="AB11" s="16" t="s">
        <v>90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16">
        <v>0</v>
      </c>
      <c r="V12" s="16">
        <f t="shared" ca="1" si="0"/>
        <v>-1.3150066631145705E-2</v>
      </c>
      <c r="AA12" s="16">
        <v>12</v>
      </c>
      <c r="AB12" s="16" t="s">
        <v>92</v>
      </c>
    </row>
    <row r="13" spans="1:28">
      <c r="C13" s="4" t="str">
        <f t="shared" si="1"/>
        <v>C104</v>
      </c>
      <c r="D13" s="4" t="str">
        <f t="shared" si="1"/>
        <v>D104</v>
      </c>
      <c r="E13" s="4" t="str">
        <f t="shared" si="1"/>
        <v>E104</v>
      </c>
      <c r="F13" s="4" t="str">
        <f t="shared" si="1"/>
        <v>F104</v>
      </c>
      <c r="G13" s="4" t="str">
        <f t="shared" ref="G13:Q13" si="3">G$15&amp;$C9</f>
        <v>G104</v>
      </c>
      <c r="H13" s="4" t="str">
        <f t="shared" si="3"/>
        <v>H104</v>
      </c>
      <c r="I13" s="4" t="str">
        <f t="shared" si="3"/>
        <v>I104</v>
      </c>
      <c r="J13" s="4" t="str">
        <f t="shared" si="3"/>
        <v>J104</v>
      </c>
      <c r="K13" s="4" t="str">
        <f t="shared" si="3"/>
        <v>K104</v>
      </c>
      <c r="L13" s="4" t="str">
        <f t="shared" si="3"/>
        <v>L104</v>
      </c>
      <c r="M13" s="4" t="str">
        <f t="shared" si="3"/>
        <v>M104</v>
      </c>
      <c r="N13" s="4" t="str">
        <f t="shared" si="3"/>
        <v>N104</v>
      </c>
      <c r="O13" s="4" t="str">
        <f t="shared" si="3"/>
        <v>O104</v>
      </c>
      <c r="P13" s="4" t="str">
        <f t="shared" si="3"/>
        <v>P104</v>
      </c>
      <c r="Q13" s="4" t="str">
        <f t="shared" si="3"/>
        <v>Q104</v>
      </c>
      <c r="U13" s="16">
        <v>0.5</v>
      </c>
      <c r="V13" s="16">
        <f t="shared" ca="1" si="0"/>
        <v>3.484001606873322E-3</v>
      </c>
      <c r="AA13" s="16">
        <v>13</v>
      </c>
      <c r="AB13" s="16" t="s">
        <v>94</v>
      </c>
    </row>
    <row r="14" spans="1:28">
      <c r="U14" s="16">
        <v>1</v>
      </c>
      <c r="V14" s="16">
        <f t="shared" ca="1" si="0"/>
        <v>1.1702981170621549E-2</v>
      </c>
      <c r="AA14" s="16">
        <v>14</v>
      </c>
      <c r="AB14" s="16" t="s">
        <v>95</v>
      </c>
    </row>
    <row r="15" spans="1:28">
      <c r="A15" s="22" t="s">
        <v>99</v>
      </c>
      <c r="B15" s="22">
        <f>C9-C8+1</f>
        <v>84</v>
      </c>
      <c r="C15" s="4" t="str">
        <f t="shared" ref="C15:Q15" si="4">VLOOKUP(C16,$AA1:$AB26,2,FALSE)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16">
        <v>1.5</v>
      </c>
      <c r="V15" s="16">
        <f t="shared" ca="1" si="0"/>
        <v>1.1506872060098976E-2</v>
      </c>
      <c r="AA15" s="16">
        <v>15</v>
      </c>
      <c r="AB15" s="16" t="s">
        <v>96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16">
        <v>2</v>
      </c>
      <c r="V16" s="16">
        <f t="shared" ca="1" si="0"/>
        <v>2.8956742753056125E-3</v>
      </c>
      <c r="AA16" s="16">
        <v>16</v>
      </c>
      <c r="AB16" s="16" t="s">
        <v>97</v>
      </c>
    </row>
    <row r="17" spans="1:28">
      <c r="A17" s="22" t="s">
        <v>98</v>
      </c>
      <c r="U17" s="16">
        <v>2.5</v>
      </c>
      <c r="V17" s="16">
        <f t="shared" ca="1" si="0"/>
        <v>-1.4130612183758551E-2</v>
      </c>
      <c r="AA17" s="16">
        <v>17</v>
      </c>
      <c r="AB17" s="16" t="s">
        <v>100</v>
      </c>
    </row>
    <row r="18" spans="1:28">
      <c r="A18" s="66">
        <v>10000</v>
      </c>
      <c r="B18" s="66">
        <v>1</v>
      </c>
      <c r="C18" s="16">
        <f ca="1">SUM(INDIRECT(C12):INDIRECT(C13))</f>
        <v>59.899999999999991</v>
      </c>
      <c r="D18" s="121">
        <f ca="1">SUM(INDIRECT(D12):INDIRECT(D13))</f>
        <v>95.745149999999967</v>
      </c>
      <c r="E18" s="121">
        <f ca="1">SUM(INDIRECT(E12):INDIRECT(E13))</f>
        <v>-7.2518841201163013</v>
      </c>
      <c r="F18" s="22">
        <f ca="1">SUM(INDIRECT(F12):INDIRECT(F13))</f>
        <v>119.03344000000001</v>
      </c>
      <c r="G18" s="22">
        <f ca="1">SUM(INDIRECT(G12):INDIRECT(G13))</f>
        <v>-1.5802722345666553</v>
      </c>
      <c r="H18" s="22">
        <f ca="1">SUM(INDIRECT(H12):INDIRECT(H13))</f>
        <v>341.90257203650003</v>
      </c>
      <c r="I18" s="22">
        <f ca="1">SUM(INDIRECT(I12):INDIRECT(I13))</f>
        <v>758.15911380372006</v>
      </c>
      <c r="J18" s="22">
        <f ca="1">SUM(INDIRECT(J12):INDIRECT(J13))</f>
        <v>2673.0488053281661</v>
      </c>
      <c r="K18" s="22">
        <f ca="1">SUM(INDIRECT(K12):INDIRECT(K13))</f>
        <v>-7.364812139708983E-2</v>
      </c>
      <c r="L18" s="22">
        <f ca="1">SUM(INDIRECT(L12):INDIRECT(L13))</f>
        <v>-17.881410018181203</v>
      </c>
      <c r="N18" s="16">
        <f ca="1">SUM(INDIRECT(N12):INDIRECT(N13))</f>
        <v>3.2110312321879213E-3</v>
      </c>
      <c r="O18" s="16">
        <f ca="1">SQRT(SUM(INDIRECT(O12):INDIRECT(O13)))</f>
        <v>1164262.0743781384</v>
      </c>
      <c r="P18" s="16">
        <f ca="1">SQRT(SUM(INDIRECT(P12):INDIRECT(P13)))</f>
        <v>251479.60711242966</v>
      </c>
      <c r="Q18" s="16">
        <f ca="1">SQRT(SUM(INDIRECT(Q12):INDIRECT(Q13)))</f>
        <v>119819.5133187086</v>
      </c>
      <c r="U18" s="16">
        <v>3</v>
      </c>
      <c r="V18" s="16">
        <f t="shared" ca="1" si="0"/>
        <v>-3.9571987317093521E-2</v>
      </c>
      <c r="AA18" s="16">
        <v>18</v>
      </c>
      <c r="AB18" s="16" t="s">
        <v>101</v>
      </c>
    </row>
    <row r="19" spans="1:28">
      <c r="A19" s="67" t="s">
        <v>102</v>
      </c>
      <c r="F19" s="68" t="s">
        <v>103</v>
      </c>
      <c r="G19" s="68" t="s">
        <v>104</v>
      </c>
      <c r="H19" s="68" t="s">
        <v>105</v>
      </c>
      <c r="I19" s="68" t="s">
        <v>106</v>
      </c>
      <c r="J19" s="68" t="s">
        <v>107</v>
      </c>
      <c r="K19" s="68" t="s">
        <v>108</v>
      </c>
      <c r="L19" s="68" t="s">
        <v>109</v>
      </c>
      <c r="M19" s="69"/>
      <c r="N19" s="69"/>
      <c r="O19" s="69"/>
      <c r="P19" s="69"/>
      <c r="Q19" s="69"/>
      <c r="U19" s="16">
        <v>3.5</v>
      </c>
      <c r="V19" s="16">
        <f ca="1">+E$4+E$5*U19+E$6*U19^2</f>
        <v>-7.3428451124699284E-2</v>
      </c>
      <c r="AA19" s="16">
        <v>19</v>
      </c>
      <c r="AB19" s="16" t="s">
        <v>110</v>
      </c>
    </row>
    <row r="20" spans="1:28" ht="15" thickBot="1">
      <c r="A20" s="7" t="s">
        <v>111</v>
      </c>
      <c r="B20" s="7" t="s">
        <v>112</v>
      </c>
      <c r="C20" s="7" t="s">
        <v>164</v>
      </c>
      <c r="D20" s="7" t="s">
        <v>111</v>
      </c>
      <c r="E20" s="7" t="s">
        <v>112</v>
      </c>
      <c r="F20" s="7" t="s">
        <v>165</v>
      </c>
      <c r="G20" s="7" t="s">
        <v>166</v>
      </c>
      <c r="H20" s="7" t="s">
        <v>174</v>
      </c>
      <c r="I20" s="7" t="s">
        <v>175</v>
      </c>
      <c r="J20" s="7" t="s">
        <v>176</v>
      </c>
      <c r="K20" s="7" t="s">
        <v>167</v>
      </c>
      <c r="L20" s="7" t="s">
        <v>177</v>
      </c>
      <c r="M20" s="70" t="s">
        <v>113</v>
      </c>
      <c r="N20" s="7" t="s">
        <v>114</v>
      </c>
      <c r="O20" s="7" t="s">
        <v>115</v>
      </c>
      <c r="P20" s="7" t="s">
        <v>116</v>
      </c>
      <c r="Q20" s="7" t="s">
        <v>117</v>
      </c>
      <c r="R20" s="44" t="s">
        <v>118</v>
      </c>
      <c r="U20" s="16">
        <v>4</v>
      </c>
      <c r="V20" s="16">
        <f ca="1">+E$4+E$5*U20+E$6*U20^2</f>
        <v>-0.11570000360657584</v>
      </c>
      <c r="AA20" s="16">
        <v>20</v>
      </c>
      <c r="AB20" s="16" t="s">
        <v>119</v>
      </c>
    </row>
    <row r="21" spans="1:28">
      <c r="A21" s="71">
        <v>-44819</v>
      </c>
      <c r="B21" s="71">
        <v>-0.5230425700028718</v>
      </c>
      <c r="C21" s="80">
        <v>0.1</v>
      </c>
      <c r="D21" s="72">
        <f t="shared" ref="D21:D84" si="5">A21/A$18</f>
        <v>-4.4819000000000004</v>
      </c>
      <c r="E21" s="72">
        <f t="shared" ref="E21:E84" si="6">B21/B$18</f>
        <v>-0.5230425700028718</v>
      </c>
      <c r="F21" s="32">
        <f t="shared" ref="F21:F84" si="7">$C21*D21</f>
        <v>-0.44819000000000009</v>
      </c>
      <c r="G21" s="32">
        <f t="shared" ref="G21:G84" si="8">$C21*E21</f>
        <v>-5.230425700028718E-2</v>
      </c>
      <c r="H21" s="32">
        <f t="shared" ref="H21:H84" si="9">C21*D21*D21</f>
        <v>2.0087427610000006</v>
      </c>
      <c r="I21" s="32">
        <f t="shared" ref="I21:I84" si="10">C21*D21*D21*D21</f>
        <v>-9.0029841805259032</v>
      </c>
      <c r="J21" s="32">
        <f t="shared" ref="J21:J84" si="11">C21*D21*D21*D21*D21</f>
        <v>40.350474798699047</v>
      </c>
      <c r="K21" s="32">
        <f t="shared" ref="K21:K84" si="12">C21*E21*D21</f>
        <v>0.23442244944958712</v>
      </c>
      <c r="L21" s="32">
        <f t="shared" ref="L21:L84" si="13">C21*E21*D21*D21</f>
        <v>-1.0506579761881045</v>
      </c>
      <c r="M21" s="32">
        <f t="shared" ref="M21:M84" ca="1" si="14">+E$4+E$5*D21+E$6*D21^2</f>
        <v>-0.53804508258460615</v>
      </c>
      <c r="N21" s="32">
        <f t="shared" ref="N21:N84" ca="1" si="15">C21*(M21-E21)^2</f>
        <v>2.2507538376509748E-5</v>
      </c>
      <c r="O21" s="122">
        <f t="shared" ref="O21:O84" ca="1" si="16">(C21*O$1-O$2*F21+O$3*H21)^2</f>
        <v>46299137.798166141</v>
      </c>
      <c r="P21" s="32">
        <f t="shared" ref="P21:P84" ca="1" si="17">(-C21*O$2+O$4*F21-O$5*H21)^2</f>
        <v>1206837520.7001815</v>
      </c>
      <c r="Q21" s="32">
        <f t="shared" ref="Q21:Q84" ca="1" si="18">+(C21*O$3-F21*O$5+H21*O$6)^2</f>
        <v>147032391.52151749</v>
      </c>
      <c r="R21" s="16">
        <f t="shared" ref="R21:R84" ca="1" si="19">+E21-M21</f>
        <v>1.5002512581734351E-2</v>
      </c>
      <c r="U21" s="16">
        <v>4.5</v>
      </c>
      <c r="V21" s="16">
        <f ca="1">+E$4+E$5*U21+E$6*U21^2</f>
        <v>-0.16638664476272319</v>
      </c>
      <c r="AA21" s="16">
        <v>21</v>
      </c>
      <c r="AB21" s="16" t="s">
        <v>120</v>
      </c>
    </row>
    <row r="22" spans="1:28">
      <c r="A22" s="71">
        <v>-44818.5</v>
      </c>
      <c r="B22" s="71">
        <v>-0.53217155500533408</v>
      </c>
      <c r="C22" s="71">
        <v>0.1</v>
      </c>
      <c r="D22" s="72">
        <f t="shared" si="5"/>
        <v>-4.4818499999999997</v>
      </c>
      <c r="E22" s="72">
        <f t="shared" si="6"/>
        <v>-0.53217155500533408</v>
      </c>
      <c r="F22" s="32">
        <f t="shared" si="7"/>
        <v>-0.448185</v>
      </c>
      <c r="G22" s="32">
        <f t="shared" si="8"/>
        <v>-5.3217155500533408E-2</v>
      </c>
      <c r="H22" s="32">
        <f t="shared" si="9"/>
        <v>2.00869794225</v>
      </c>
      <c r="I22" s="32">
        <f t="shared" si="10"/>
        <v>-9.0026828724731622</v>
      </c>
      <c r="J22" s="32">
        <f t="shared" si="11"/>
        <v>40.34867423199384</v>
      </c>
      <c r="K22" s="32">
        <f t="shared" si="12"/>
        <v>0.23851130838006565</v>
      </c>
      <c r="L22" s="32">
        <f t="shared" si="13"/>
        <v>-1.0689719074631971</v>
      </c>
      <c r="M22" s="32">
        <f t="shared" ca="1" si="14"/>
        <v>-0.53803545534823805</v>
      </c>
      <c r="N22" s="32">
        <f t="shared" ca="1" si="15"/>
        <v>3.4385327231509188E-6</v>
      </c>
      <c r="O22" s="122">
        <f t="shared" ca="1" si="16"/>
        <v>46311381.532076202</v>
      </c>
      <c r="P22" s="32">
        <f t="shared" ca="1" si="17"/>
        <v>1206807821.9129848</v>
      </c>
      <c r="Q22" s="32">
        <f t="shared" ca="1" si="18"/>
        <v>147024960.24530911</v>
      </c>
      <c r="R22" s="16">
        <f t="shared" ca="1" si="19"/>
        <v>5.8639003429039604E-3</v>
      </c>
      <c r="AA22" s="16">
        <v>22</v>
      </c>
      <c r="AB22" s="16" t="s">
        <v>121</v>
      </c>
    </row>
    <row r="23" spans="1:28">
      <c r="A23" s="71">
        <v>-43940</v>
      </c>
      <c r="B23" s="71">
        <v>-0.52479820000371546</v>
      </c>
      <c r="C23" s="71">
        <v>0.1</v>
      </c>
      <c r="D23" s="72">
        <f t="shared" si="5"/>
        <v>-4.3940000000000001</v>
      </c>
      <c r="E23" s="72">
        <f t="shared" si="6"/>
        <v>-0.52479820000371546</v>
      </c>
      <c r="F23" s="32">
        <f t="shared" si="7"/>
        <v>-0.43940000000000001</v>
      </c>
      <c r="G23" s="32">
        <f t="shared" si="8"/>
        <v>-5.2479820000371546E-2</v>
      </c>
      <c r="H23" s="32">
        <f t="shared" si="9"/>
        <v>1.9307236000000001</v>
      </c>
      <c r="I23" s="32">
        <f t="shared" si="10"/>
        <v>-8.4835994984000003</v>
      </c>
      <c r="J23" s="32">
        <f t="shared" si="11"/>
        <v>37.276936195969604</v>
      </c>
      <c r="K23" s="32">
        <f t="shared" si="12"/>
        <v>0.23059632908163258</v>
      </c>
      <c r="L23" s="32">
        <f t="shared" si="13"/>
        <v>-1.0132402699846936</v>
      </c>
      <c r="M23" s="32">
        <f t="shared" ca="1" si="14"/>
        <v>-0.52125036393174962</v>
      </c>
      <c r="N23" s="32">
        <f t="shared" ca="1" si="15"/>
        <v>1.2587140793542064E-6</v>
      </c>
      <c r="O23" s="122">
        <f t="shared" ca="1" si="16"/>
        <v>69978812.602088898</v>
      </c>
      <c r="P23" s="32">
        <f t="shared" ca="1" si="17"/>
        <v>1155438980.4115343</v>
      </c>
      <c r="Q23" s="32">
        <f t="shared" ca="1" si="18"/>
        <v>134371205.30075842</v>
      </c>
      <c r="R23" s="16">
        <f t="shared" ca="1" si="19"/>
        <v>-3.5478360719658486E-3</v>
      </c>
      <c r="AA23" s="16">
        <v>23</v>
      </c>
      <c r="AB23" s="16" t="s">
        <v>122</v>
      </c>
    </row>
    <row r="24" spans="1:28">
      <c r="A24" s="71">
        <v>-43939.5</v>
      </c>
      <c r="B24" s="71">
        <v>-0.51392718500574119</v>
      </c>
      <c r="C24" s="71">
        <v>0.1</v>
      </c>
      <c r="D24" s="72">
        <f t="shared" si="5"/>
        <v>-4.3939500000000002</v>
      </c>
      <c r="E24" s="72">
        <f t="shared" si="6"/>
        <v>-0.51392718500574119</v>
      </c>
      <c r="F24" s="32">
        <f t="shared" si="7"/>
        <v>-0.43939500000000004</v>
      </c>
      <c r="G24" s="32">
        <f t="shared" si="8"/>
        <v>-5.1392718500574121E-2</v>
      </c>
      <c r="H24" s="32">
        <f t="shared" si="9"/>
        <v>1.9306796602500003</v>
      </c>
      <c r="I24" s="32">
        <f t="shared" si="10"/>
        <v>-8.4833098931554893</v>
      </c>
      <c r="J24" s="32">
        <f t="shared" si="11"/>
        <v>37.275239505030562</v>
      </c>
      <c r="K24" s="32">
        <f t="shared" si="12"/>
        <v>0.22581703545559767</v>
      </c>
      <c r="L24" s="32">
        <f t="shared" si="13"/>
        <v>-0.99222876294012341</v>
      </c>
      <c r="M24" s="32">
        <f t="shared" ca="1" si="14"/>
        <v>-0.52124088463264062</v>
      </c>
      <c r="N24" s="32">
        <f t="shared" ca="1" si="15"/>
        <v>5.3490202232508837E-6</v>
      </c>
      <c r="O24" s="122">
        <f t="shared" ca="1" si="16"/>
        <v>69993473.009234294</v>
      </c>
      <c r="P24" s="32">
        <f t="shared" ca="1" si="17"/>
        <v>1155410202.7430537</v>
      </c>
      <c r="Q24" s="32">
        <f t="shared" ca="1" si="18"/>
        <v>134364229.79498637</v>
      </c>
      <c r="R24" s="16">
        <f t="shared" ca="1" si="19"/>
        <v>7.3136996268994281E-3</v>
      </c>
      <c r="AA24" s="16">
        <v>24</v>
      </c>
      <c r="AB24" s="16" t="s">
        <v>111</v>
      </c>
    </row>
    <row r="25" spans="1:28">
      <c r="A25" s="71">
        <v>-43038.5</v>
      </c>
      <c r="B25" s="71">
        <v>-0.52535815499868477</v>
      </c>
      <c r="C25" s="71">
        <v>0.1</v>
      </c>
      <c r="D25" s="72">
        <f t="shared" si="5"/>
        <v>-4.3038499999999997</v>
      </c>
      <c r="E25" s="72">
        <f t="shared" si="6"/>
        <v>-0.52535815499868477</v>
      </c>
      <c r="F25" s="32">
        <f t="shared" si="7"/>
        <v>-0.43038500000000002</v>
      </c>
      <c r="G25" s="32">
        <f t="shared" si="8"/>
        <v>-5.253581549986848E-2</v>
      </c>
      <c r="H25" s="32">
        <f t="shared" si="9"/>
        <v>1.8523124822499999</v>
      </c>
      <c r="I25" s="32">
        <f t="shared" si="10"/>
        <v>-7.9720750767316613</v>
      </c>
      <c r="J25" s="32">
        <f t="shared" si="11"/>
        <v>34.310615318991559</v>
      </c>
      <c r="K25" s="32">
        <f t="shared" si="12"/>
        <v>0.22610626953910895</v>
      </c>
      <c r="L25" s="32">
        <f t="shared" si="13"/>
        <v>-0.97312746815589402</v>
      </c>
      <c r="M25" s="32">
        <f t="shared" ca="1" si="14"/>
        <v>-0.50429589100615047</v>
      </c>
      <c r="N25" s="32">
        <f t="shared" ca="1" si="15"/>
        <v>4.4361896449120703E-5</v>
      </c>
      <c r="O25" s="122">
        <f t="shared" ca="1" si="16"/>
        <v>98475847.962479219</v>
      </c>
      <c r="P25" s="32">
        <f t="shared" ca="1" si="17"/>
        <v>1104389605.7121665</v>
      </c>
      <c r="Q25" s="32">
        <f t="shared" ca="1" si="18"/>
        <v>122201810.67868911</v>
      </c>
      <c r="R25" s="16">
        <f t="shared" ca="1" si="19"/>
        <v>-2.1062263992534302E-2</v>
      </c>
      <c r="AA25" s="16">
        <v>25</v>
      </c>
      <c r="AB25" s="16" t="s">
        <v>112</v>
      </c>
    </row>
    <row r="26" spans="1:28">
      <c r="A26" s="71">
        <v>-42268.5</v>
      </c>
      <c r="B26" s="71">
        <v>-0.5579950550054491</v>
      </c>
      <c r="C26" s="71">
        <v>0.1</v>
      </c>
      <c r="D26" s="72">
        <f t="shared" si="5"/>
        <v>-4.2268499999999998</v>
      </c>
      <c r="E26" s="72">
        <f t="shared" si="6"/>
        <v>-0.5579950550054491</v>
      </c>
      <c r="F26" s="32">
        <f t="shared" si="7"/>
        <v>-0.42268499999999998</v>
      </c>
      <c r="G26" s="32">
        <f t="shared" si="8"/>
        <v>-5.579950550054491E-2</v>
      </c>
      <c r="H26" s="32">
        <f t="shared" si="9"/>
        <v>1.7866260922499999</v>
      </c>
      <c r="I26" s="32">
        <f t="shared" si="10"/>
        <v>-7.5518004980269113</v>
      </c>
      <c r="J26" s="32">
        <f t="shared" si="11"/>
        <v>31.920327935085048</v>
      </c>
      <c r="K26" s="32">
        <f t="shared" si="12"/>
        <v>0.23585613982497824</v>
      </c>
      <c r="L26" s="32">
        <f t="shared" si="13"/>
        <v>-0.99692852461920922</v>
      </c>
      <c r="M26" s="32">
        <f t="shared" ca="1" si="14"/>
        <v>-0.49003114673872206</v>
      </c>
      <c r="N26" s="32">
        <f t="shared" ca="1" si="15"/>
        <v>4.6190928268880892E-4</v>
      </c>
      <c r="O26" s="122">
        <f t="shared" ca="1" si="16"/>
        <v>125890142.5639284</v>
      </c>
      <c r="P26" s="32">
        <f t="shared" ca="1" si="17"/>
        <v>1062095543.3843077</v>
      </c>
      <c r="Q26" s="32">
        <f t="shared" ca="1" si="18"/>
        <v>112437039.84145837</v>
      </c>
      <c r="R26" s="16">
        <f t="shared" ca="1" si="19"/>
        <v>-6.7963908266727047E-2</v>
      </c>
      <c r="AA26" s="16">
        <v>26</v>
      </c>
      <c r="AB26" s="16" t="s">
        <v>123</v>
      </c>
    </row>
    <row r="27" spans="1:28">
      <c r="A27" s="71">
        <v>-39901</v>
      </c>
      <c r="B27" s="71">
        <v>-0.45773903000372229</v>
      </c>
      <c r="C27" s="71">
        <v>0.1</v>
      </c>
      <c r="D27" s="72">
        <f t="shared" si="5"/>
        <v>-3.9901</v>
      </c>
      <c r="E27" s="72">
        <f t="shared" si="6"/>
        <v>-0.45773903000372229</v>
      </c>
      <c r="F27" s="32">
        <f t="shared" si="7"/>
        <v>-0.39901000000000003</v>
      </c>
      <c r="G27" s="32">
        <f t="shared" si="8"/>
        <v>-4.5773903000372235E-2</v>
      </c>
      <c r="H27" s="32">
        <f t="shared" si="9"/>
        <v>1.5920898010000002</v>
      </c>
      <c r="I27" s="32">
        <f t="shared" si="10"/>
        <v>-6.3525975149701006</v>
      </c>
      <c r="J27" s="32">
        <f t="shared" si="11"/>
        <v>25.347499344482198</v>
      </c>
      <c r="K27" s="32">
        <f t="shared" si="12"/>
        <v>0.18264245036178525</v>
      </c>
      <c r="L27" s="32">
        <f t="shared" si="13"/>
        <v>-0.72876164118855935</v>
      </c>
      <c r="M27" s="32">
        <f t="shared" ca="1" si="14"/>
        <v>-0.44742184035973609</v>
      </c>
      <c r="N27" s="32">
        <f t="shared" ca="1" si="15"/>
        <v>1.0644440214997615E-5</v>
      </c>
      <c r="O27" s="122">
        <f t="shared" ca="1" si="16"/>
        <v>225260132.32021192</v>
      </c>
      <c r="P27" s="32">
        <f t="shared" ca="1" si="17"/>
        <v>939373651.19368494</v>
      </c>
      <c r="Q27" s="32">
        <f t="shared" ca="1" si="18"/>
        <v>85826610.466611639</v>
      </c>
      <c r="R27" s="16">
        <f t="shared" ca="1" si="19"/>
        <v>-1.0317189643986202E-2</v>
      </c>
    </row>
    <row r="28" spans="1:28">
      <c r="A28" s="71">
        <v>-39900.5</v>
      </c>
      <c r="B28" s="71">
        <v>-0.44986801500272122</v>
      </c>
      <c r="C28" s="71">
        <v>0.1</v>
      </c>
      <c r="D28" s="72">
        <f t="shared" si="5"/>
        <v>-3.9900500000000001</v>
      </c>
      <c r="E28" s="72">
        <f t="shared" si="6"/>
        <v>-0.44986801500272122</v>
      </c>
      <c r="F28" s="32">
        <f t="shared" si="7"/>
        <v>-0.39900500000000005</v>
      </c>
      <c r="G28" s="32">
        <f t="shared" si="8"/>
        <v>-4.4986801500272122E-2</v>
      </c>
      <c r="H28" s="32">
        <f t="shared" si="9"/>
        <v>1.5920499002500001</v>
      </c>
      <c r="I28" s="32">
        <f t="shared" si="10"/>
        <v>-6.3523587044925129</v>
      </c>
      <c r="J28" s="32">
        <f t="shared" si="11"/>
        <v>25.346228848860353</v>
      </c>
      <c r="K28" s="32">
        <f t="shared" si="12"/>
        <v>0.17949958732616078</v>
      </c>
      <c r="L28" s="32">
        <f t="shared" si="13"/>
        <v>-0.71621232841074789</v>
      </c>
      <c r="M28" s="32">
        <f t="shared" ca="1" si="14"/>
        <v>-0.44741304083149014</v>
      </c>
      <c r="N28" s="32">
        <f t="shared" ca="1" si="15"/>
        <v>6.0268981814117454E-7</v>
      </c>
      <c r="O28" s="122">
        <f t="shared" ca="1" si="16"/>
        <v>225283203.33324867</v>
      </c>
      <c r="P28" s="32">
        <f t="shared" ca="1" si="17"/>
        <v>939348870.93169749</v>
      </c>
      <c r="Q28" s="32">
        <f t="shared" ca="1" si="18"/>
        <v>85821507.910040066</v>
      </c>
      <c r="R28" s="16">
        <f t="shared" ca="1" si="19"/>
        <v>-2.4549741712310835E-3</v>
      </c>
    </row>
    <row r="29" spans="1:28">
      <c r="A29" s="71">
        <v>-38768</v>
      </c>
      <c r="B29" s="71">
        <v>-0.43001904000266222</v>
      </c>
      <c r="C29" s="71">
        <v>0.1</v>
      </c>
      <c r="D29" s="72">
        <f t="shared" si="5"/>
        <v>-3.8767999999999998</v>
      </c>
      <c r="E29" s="72">
        <f t="shared" si="6"/>
        <v>-0.43001904000266222</v>
      </c>
      <c r="F29" s="32">
        <f t="shared" si="7"/>
        <v>-0.38768000000000002</v>
      </c>
      <c r="G29" s="32">
        <f t="shared" si="8"/>
        <v>-4.3001904000266225E-2</v>
      </c>
      <c r="H29" s="32">
        <f t="shared" si="9"/>
        <v>1.5029578240000001</v>
      </c>
      <c r="I29" s="32">
        <f t="shared" si="10"/>
        <v>-5.8266668920832005</v>
      </c>
      <c r="J29" s="32">
        <f t="shared" si="11"/>
        <v>22.588822207228151</v>
      </c>
      <c r="K29" s="32">
        <f t="shared" si="12"/>
        <v>0.16670978142823209</v>
      </c>
      <c r="L29" s="32">
        <f t="shared" si="13"/>
        <v>-0.64630048064097012</v>
      </c>
      <c r="M29" s="32">
        <f t="shared" ca="1" si="14"/>
        <v>-0.42769806114684472</v>
      </c>
      <c r="N29" s="32">
        <f t="shared" ca="1" si="15"/>
        <v>5.3869428491519193E-7</v>
      </c>
      <c r="O29" s="122">
        <f t="shared" ca="1" si="16"/>
        <v>279426374.53125441</v>
      </c>
      <c r="P29" s="32">
        <f t="shared" ca="1" si="17"/>
        <v>884420227.16603541</v>
      </c>
      <c r="Q29" s="32">
        <f t="shared" ca="1" si="18"/>
        <v>74793471.78851293</v>
      </c>
      <c r="R29" s="16">
        <f t="shared" ca="1" si="19"/>
        <v>-2.3209788558175015E-3</v>
      </c>
    </row>
    <row r="30" spans="1:28">
      <c r="A30" s="71">
        <v>-38767.5</v>
      </c>
      <c r="B30" s="71">
        <v>-0.43014802500329097</v>
      </c>
      <c r="C30" s="71">
        <v>0.1</v>
      </c>
      <c r="D30" s="72">
        <f t="shared" si="5"/>
        <v>-3.8767499999999999</v>
      </c>
      <c r="E30" s="72">
        <f t="shared" si="6"/>
        <v>-0.43014802500329097</v>
      </c>
      <c r="F30" s="32">
        <f t="shared" si="7"/>
        <v>-0.38767499999999999</v>
      </c>
      <c r="G30" s="32">
        <f t="shared" si="8"/>
        <v>-4.3014802500329102E-2</v>
      </c>
      <c r="H30" s="32">
        <f t="shared" si="9"/>
        <v>1.5029190562499999</v>
      </c>
      <c r="I30" s="32">
        <f t="shared" si="10"/>
        <v>-5.8264414513171872</v>
      </c>
      <c r="J30" s="32">
        <f t="shared" si="11"/>
        <v>22.587656896393906</v>
      </c>
      <c r="K30" s="32">
        <f t="shared" si="12"/>
        <v>0.16675763559315085</v>
      </c>
      <c r="L30" s="32">
        <f t="shared" si="13"/>
        <v>-0.64647766378574756</v>
      </c>
      <c r="M30" s="32">
        <f t="shared" ca="1" si="14"/>
        <v>-0.42768945230450817</v>
      </c>
      <c r="N30" s="32">
        <f t="shared" ca="1" si="15"/>
        <v>6.0445797152001491E-7</v>
      </c>
      <c r="O30" s="122">
        <f t="shared" ca="1" si="16"/>
        <v>279451060.48003417</v>
      </c>
      <c r="P30" s="32">
        <f t="shared" ca="1" si="17"/>
        <v>884396500.44996727</v>
      </c>
      <c r="Q30" s="32">
        <f t="shared" ca="1" si="18"/>
        <v>74788832.158705294</v>
      </c>
      <c r="R30" s="16">
        <f t="shared" ca="1" si="19"/>
        <v>-2.4585726987828016E-3</v>
      </c>
    </row>
    <row r="31" spans="1:28">
      <c r="A31" s="71">
        <v>-37771.5</v>
      </c>
      <c r="B31" s="71">
        <v>-0.41408614499960095</v>
      </c>
      <c r="C31" s="71">
        <v>0.1</v>
      </c>
      <c r="D31" s="72">
        <f t="shared" si="5"/>
        <v>-3.7771499999999998</v>
      </c>
      <c r="E31" s="72">
        <f t="shared" si="6"/>
        <v>-0.41408614499960095</v>
      </c>
      <c r="F31" s="32">
        <f t="shared" si="7"/>
        <v>-0.37771500000000002</v>
      </c>
      <c r="G31" s="32">
        <f t="shared" si="8"/>
        <v>-4.1408614499960097E-2</v>
      </c>
      <c r="H31" s="32">
        <f t="shared" si="9"/>
        <v>1.4266862122499999</v>
      </c>
      <c r="I31" s="32">
        <f t="shared" si="10"/>
        <v>-5.3888078266000869</v>
      </c>
      <c r="J31" s="32">
        <f t="shared" si="11"/>
        <v>20.354335482242519</v>
      </c>
      <c r="K31" s="32">
        <f t="shared" si="12"/>
        <v>0.15640654825852426</v>
      </c>
      <c r="L31" s="32">
        <f t="shared" si="13"/>
        <v>-0.59077099375468489</v>
      </c>
      <c r="M31" s="32">
        <f t="shared" ca="1" si="14"/>
        <v>-0.41070768023650039</v>
      </c>
      <c r="N31" s="32">
        <f t="shared" ca="1" si="15"/>
        <v>1.1414024155512073E-6</v>
      </c>
      <c r="O31" s="122">
        <f t="shared" ca="1" si="16"/>
        <v>329828448.0033921</v>
      </c>
      <c r="P31" s="32">
        <f t="shared" ca="1" si="17"/>
        <v>838035625.49227595</v>
      </c>
      <c r="Q31" s="32">
        <f t="shared" ca="1" si="18"/>
        <v>65934035.928479947</v>
      </c>
      <c r="R31" s="16">
        <f t="shared" ca="1" si="19"/>
        <v>-3.3784647631005527E-3</v>
      </c>
    </row>
    <row r="32" spans="1:28">
      <c r="A32" s="71">
        <v>-37771</v>
      </c>
      <c r="B32" s="71">
        <v>-0.40721513000244158</v>
      </c>
      <c r="C32" s="71">
        <v>0.1</v>
      </c>
      <c r="D32" s="72">
        <f t="shared" si="5"/>
        <v>-3.7770999999999999</v>
      </c>
      <c r="E32" s="72">
        <f t="shared" si="6"/>
        <v>-0.40721513000244158</v>
      </c>
      <c r="F32" s="32">
        <f t="shared" si="7"/>
        <v>-0.37770999999999999</v>
      </c>
      <c r="G32" s="32">
        <f t="shared" si="8"/>
        <v>-4.072151300024416E-2</v>
      </c>
      <c r="H32" s="32">
        <f t="shared" si="9"/>
        <v>1.426648441</v>
      </c>
      <c r="I32" s="32">
        <f t="shared" si="10"/>
        <v>-5.3885938265010997</v>
      </c>
      <c r="J32" s="32">
        <f t="shared" si="11"/>
        <v>20.353257742077304</v>
      </c>
      <c r="K32" s="32">
        <f t="shared" si="12"/>
        <v>0.1538092267532222</v>
      </c>
      <c r="L32" s="32">
        <f t="shared" si="13"/>
        <v>-0.58095283036959555</v>
      </c>
      <c r="M32" s="32">
        <f t="shared" ca="1" si="14"/>
        <v>-0.41069923910688105</v>
      </c>
      <c r="N32" s="32">
        <f t="shared" ca="1" si="15"/>
        <v>1.2139016251638007E-6</v>
      </c>
      <c r="O32" s="122">
        <f t="shared" ca="1" si="16"/>
        <v>329854303.36262482</v>
      </c>
      <c r="P32" s="32">
        <f t="shared" ca="1" si="17"/>
        <v>838012801.42908072</v>
      </c>
      <c r="Q32" s="32">
        <f t="shared" ca="1" si="18"/>
        <v>65929781.876266368</v>
      </c>
      <c r="R32" s="16">
        <f t="shared" ca="1" si="19"/>
        <v>3.4841091044394701E-3</v>
      </c>
    </row>
    <row r="33" spans="1:18">
      <c r="A33" s="71">
        <v>-34753</v>
      </c>
      <c r="B33" s="71">
        <v>-0.3777685900022334</v>
      </c>
      <c r="C33" s="71">
        <v>0.1</v>
      </c>
      <c r="D33" s="72">
        <f t="shared" si="5"/>
        <v>-3.4752999999999998</v>
      </c>
      <c r="E33" s="72">
        <f t="shared" si="6"/>
        <v>-0.3777685900022334</v>
      </c>
      <c r="F33" s="32">
        <f t="shared" si="7"/>
        <v>-0.34753000000000001</v>
      </c>
      <c r="G33" s="32">
        <f t="shared" si="8"/>
        <v>-3.7776859000223345E-2</v>
      </c>
      <c r="H33" s="32">
        <f t="shared" si="9"/>
        <v>1.207771009</v>
      </c>
      <c r="I33" s="32">
        <f t="shared" si="10"/>
        <v>-4.1973665875777</v>
      </c>
      <c r="J33" s="32">
        <f t="shared" si="11"/>
        <v>14.587108101808781</v>
      </c>
      <c r="K33" s="32">
        <f t="shared" si="12"/>
        <v>0.13128591808347617</v>
      </c>
      <c r="L33" s="32">
        <f t="shared" si="13"/>
        <v>-0.45625795111550471</v>
      </c>
      <c r="M33" s="32">
        <f t="shared" ca="1" si="14"/>
        <v>-0.36128178177498432</v>
      </c>
      <c r="N33" s="32">
        <f t="shared" ca="1" si="15"/>
        <v>2.7181484552208775E-5</v>
      </c>
      <c r="O33" s="122">
        <f t="shared" ca="1" si="16"/>
        <v>493534156.04856765</v>
      </c>
      <c r="P33" s="32">
        <f t="shared" ca="1" si="17"/>
        <v>708194370.52330387</v>
      </c>
      <c r="Q33" s="32">
        <f t="shared" ca="1" si="18"/>
        <v>43507923.359708525</v>
      </c>
      <c r="R33" s="16">
        <f t="shared" ca="1" si="19"/>
        <v>-1.6486808227249072E-2</v>
      </c>
    </row>
    <row r="34" spans="1:18">
      <c r="A34" s="71">
        <v>-1177.5</v>
      </c>
      <c r="B34" s="71">
        <v>-1.0940325002593454E-2</v>
      </c>
      <c r="C34" s="71">
        <v>1</v>
      </c>
      <c r="D34" s="72">
        <f t="shared" si="5"/>
        <v>-0.11774999999999999</v>
      </c>
      <c r="E34" s="72">
        <f t="shared" si="6"/>
        <v>-1.0940325002593454E-2</v>
      </c>
      <c r="F34" s="32">
        <f t="shared" si="7"/>
        <v>-0.11774999999999999</v>
      </c>
      <c r="G34" s="32">
        <f t="shared" si="8"/>
        <v>-1.0940325002593454E-2</v>
      </c>
      <c r="H34" s="32">
        <f t="shared" si="9"/>
        <v>1.3865062499999999E-2</v>
      </c>
      <c r="I34" s="32">
        <f t="shared" si="10"/>
        <v>-1.6326111093749997E-3</v>
      </c>
      <c r="J34" s="32">
        <f t="shared" si="11"/>
        <v>1.9223995812890621E-4</v>
      </c>
      <c r="K34" s="32">
        <f t="shared" si="12"/>
        <v>1.2882232690553791E-3</v>
      </c>
      <c r="L34" s="32">
        <f t="shared" si="13"/>
        <v>-1.5168828993127089E-4</v>
      </c>
      <c r="M34" s="32">
        <f t="shared" ca="1" si="14"/>
        <v>-1.8291617853418186E-2</v>
      </c>
      <c r="N34" s="32">
        <f t="shared" ca="1" si="15"/>
        <v>5.4041506578586824E-5</v>
      </c>
      <c r="O34" s="122">
        <f t="shared" ca="1" si="16"/>
        <v>119502063867.51547</v>
      </c>
      <c r="P34" s="32">
        <f t="shared" ca="1" si="17"/>
        <v>4111371730.5113401</v>
      </c>
      <c r="Q34" s="32">
        <f t="shared" ca="1" si="18"/>
        <v>676430767.71185255</v>
      </c>
      <c r="R34" s="16">
        <f t="shared" ca="1" si="19"/>
        <v>7.3512928508247324E-3</v>
      </c>
    </row>
    <row r="35" spans="1:18">
      <c r="A35" s="71">
        <v>-1060.5</v>
      </c>
      <c r="B35" s="71">
        <v>-1.1222815002838615E-2</v>
      </c>
      <c r="C35" s="71">
        <v>1</v>
      </c>
      <c r="D35" s="72">
        <f t="shared" si="5"/>
        <v>-0.10605000000000001</v>
      </c>
      <c r="E35" s="72">
        <f t="shared" si="6"/>
        <v>-1.1222815002838615E-2</v>
      </c>
      <c r="F35" s="32">
        <f t="shared" si="7"/>
        <v>-0.10605000000000001</v>
      </c>
      <c r="G35" s="32">
        <f t="shared" si="8"/>
        <v>-1.1222815002838615E-2</v>
      </c>
      <c r="H35" s="32">
        <f t="shared" si="9"/>
        <v>1.1246602500000001E-2</v>
      </c>
      <c r="I35" s="32">
        <f t="shared" si="10"/>
        <v>-1.1927021951250003E-3</v>
      </c>
      <c r="J35" s="32">
        <f t="shared" si="11"/>
        <v>1.264860677930063E-4</v>
      </c>
      <c r="K35" s="32">
        <f t="shared" si="12"/>
        <v>1.1901795310510352E-3</v>
      </c>
      <c r="L35" s="32">
        <f t="shared" si="13"/>
        <v>-1.2621853926796228E-4</v>
      </c>
      <c r="M35" s="32">
        <f t="shared" ca="1" si="14"/>
        <v>-1.7759854972979508E-2</v>
      </c>
      <c r="N35" s="32">
        <f t="shared" ca="1" si="15"/>
        <v>4.273289157121964E-5</v>
      </c>
      <c r="O35" s="122">
        <f t="shared" ca="1" si="16"/>
        <v>119073713641.69106</v>
      </c>
      <c r="P35" s="32">
        <f t="shared" ca="1" si="17"/>
        <v>4045211507.6142459</v>
      </c>
      <c r="Q35" s="32">
        <f t="shared" ca="1" si="18"/>
        <v>680165550.79825282</v>
      </c>
      <c r="R35" s="16">
        <f t="shared" ca="1" si="19"/>
        <v>6.5370399701408927E-3</v>
      </c>
    </row>
    <row r="36" spans="1:18">
      <c r="A36" s="71">
        <v>-250.5</v>
      </c>
      <c r="B36" s="71">
        <v>-5.8785149958566763E-3</v>
      </c>
      <c r="C36" s="71">
        <v>1</v>
      </c>
      <c r="D36" s="72">
        <f t="shared" si="5"/>
        <v>-2.5049999999999999E-2</v>
      </c>
      <c r="E36" s="72">
        <f t="shared" si="6"/>
        <v>-5.8785149958566763E-3</v>
      </c>
      <c r="F36" s="32">
        <f t="shared" si="7"/>
        <v>-2.5049999999999999E-2</v>
      </c>
      <c r="G36" s="32">
        <f t="shared" si="8"/>
        <v>-5.8785149958566763E-3</v>
      </c>
      <c r="H36" s="32">
        <f t="shared" si="9"/>
        <v>6.275025E-4</v>
      </c>
      <c r="I36" s="32">
        <f t="shared" si="10"/>
        <v>-1.5718937624999998E-5</v>
      </c>
      <c r="J36" s="32">
        <f t="shared" si="11"/>
        <v>3.9375938750624994E-7</v>
      </c>
      <c r="K36" s="32">
        <f t="shared" si="12"/>
        <v>1.4725680064620975E-4</v>
      </c>
      <c r="L36" s="32">
        <f t="shared" si="13"/>
        <v>-3.6887828561875541E-6</v>
      </c>
      <c r="M36" s="32">
        <f t="shared" ca="1" si="14"/>
        <v>-1.4204792399522596E-2</v>
      </c>
      <c r="N36" s="32">
        <f t="shared" ca="1" si="15"/>
        <v>6.932689540279769E-5</v>
      </c>
      <c r="O36" s="122">
        <f t="shared" ca="1" si="16"/>
        <v>115992955601.35826</v>
      </c>
      <c r="P36" s="32">
        <f t="shared" ca="1" si="17"/>
        <v>3606149032.7438159</v>
      </c>
      <c r="Q36" s="32">
        <f t="shared" ca="1" si="18"/>
        <v>703787210.97313941</v>
      </c>
      <c r="R36" s="16">
        <f t="shared" ca="1" si="19"/>
        <v>8.3262774036659201E-3</v>
      </c>
    </row>
    <row r="37" spans="1:18">
      <c r="A37" s="71">
        <v>-3</v>
      </c>
      <c r="B37" s="71">
        <v>-5.0260900025023147E-3</v>
      </c>
      <c r="C37" s="71">
        <v>1</v>
      </c>
      <c r="D37" s="72">
        <f t="shared" si="5"/>
        <v>-2.9999999999999997E-4</v>
      </c>
      <c r="E37" s="72">
        <f t="shared" si="6"/>
        <v>-5.0260900025023147E-3</v>
      </c>
      <c r="F37" s="32">
        <f t="shared" si="7"/>
        <v>-2.9999999999999997E-4</v>
      </c>
      <c r="G37" s="32">
        <f t="shared" si="8"/>
        <v>-5.0260900025023147E-3</v>
      </c>
      <c r="H37" s="32">
        <f t="shared" si="9"/>
        <v>8.9999999999999985E-8</v>
      </c>
      <c r="I37" s="32">
        <f t="shared" si="10"/>
        <v>-2.6999999999999994E-11</v>
      </c>
      <c r="J37" s="32">
        <f t="shared" si="11"/>
        <v>8.0999999999999967E-15</v>
      </c>
      <c r="K37" s="32">
        <f t="shared" si="12"/>
        <v>1.5078270007506943E-6</v>
      </c>
      <c r="L37" s="32">
        <f t="shared" si="13"/>
        <v>-4.5234810022520825E-10</v>
      </c>
      <c r="M37" s="32">
        <f t="shared" ca="1" si="14"/>
        <v>-1.316257311340676E-2</v>
      </c>
      <c r="N37" s="32">
        <f t="shared" ca="1" si="15"/>
        <v>6.620235741403328E-5</v>
      </c>
      <c r="O37" s="122">
        <f t="shared" ca="1" si="16"/>
        <v>115012349608.38264</v>
      </c>
      <c r="P37" s="32">
        <f t="shared" ca="1" si="17"/>
        <v>3478476374.3694305</v>
      </c>
      <c r="Q37" s="32">
        <f t="shared" ca="1" si="18"/>
        <v>710204700.37871087</v>
      </c>
      <c r="R37" s="16">
        <f t="shared" ca="1" si="19"/>
        <v>8.1364831109044453E-3</v>
      </c>
    </row>
    <row r="38" spans="1:18">
      <c r="A38" s="71">
        <v>0</v>
      </c>
      <c r="B38" s="71">
        <v>-5.0000000046566129E-3</v>
      </c>
      <c r="C38" s="71">
        <v>1</v>
      </c>
      <c r="D38" s="72">
        <f t="shared" si="5"/>
        <v>0</v>
      </c>
      <c r="E38" s="72">
        <f t="shared" si="6"/>
        <v>-5.0000000046566129E-3</v>
      </c>
      <c r="F38" s="32">
        <f t="shared" si="7"/>
        <v>0</v>
      </c>
      <c r="G38" s="32">
        <f t="shared" si="8"/>
        <v>-5.0000000046566129E-3</v>
      </c>
      <c r="H38" s="32">
        <f t="shared" si="9"/>
        <v>0</v>
      </c>
      <c r="I38" s="32">
        <f t="shared" si="10"/>
        <v>0</v>
      </c>
      <c r="J38" s="32">
        <f t="shared" si="11"/>
        <v>0</v>
      </c>
      <c r="K38" s="32">
        <f t="shared" si="12"/>
        <v>0</v>
      </c>
      <c r="L38" s="32">
        <f t="shared" si="13"/>
        <v>0</v>
      </c>
      <c r="M38" s="32">
        <f t="shared" ca="1" si="14"/>
        <v>-1.3150066631145705E-2</v>
      </c>
      <c r="N38" s="32">
        <f t="shared" ca="1" si="15"/>
        <v>6.642358601621129E-5</v>
      </c>
      <c r="O38" s="122">
        <f t="shared" ca="1" si="16"/>
        <v>115000353170.36035</v>
      </c>
      <c r="P38" s="32">
        <f t="shared" ca="1" si="17"/>
        <v>3476947120.8809099</v>
      </c>
      <c r="Q38" s="32">
        <f t="shared" ca="1" si="18"/>
        <v>710280138.81750321</v>
      </c>
      <c r="R38" s="16">
        <f t="shared" ca="1" si="19"/>
        <v>8.1500666264890925E-3</v>
      </c>
    </row>
    <row r="39" spans="1:18">
      <c r="A39" s="71">
        <v>3</v>
      </c>
      <c r="B39" s="71">
        <v>-4.6739099998376332E-3</v>
      </c>
      <c r="C39" s="71">
        <v>1</v>
      </c>
      <c r="D39" s="72">
        <f t="shared" si="5"/>
        <v>2.9999999999999997E-4</v>
      </c>
      <c r="E39" s="72">
        <f t="shared" si="6"/>
        <v>-4.6739099998376332E-3</v>
      </c>
      <c r="F39" s="32">
        <f t="shared" si="7"/>
        <v>2.9999999999999997E-4</v>
      </c>
      <c r="G39" s="32">
        <f t="shared" si="8"/>
        <v>-4.6739099998376332E-3</v>
      </c>
      <c r="H39" s="32">
        <f t="shared" si="9"/>
        <v>8.9999999999999985E-8</v>
      </c>
      <c r="I39" s="32">
        <f t="shared" si="10"/>
        <v>2.6999999999999994E-11</v>
      </c>
      <c r="J39" s="32">
        <f t="shared" si="11"/>
        <v>8.0999999999999967E-15</v>
      </c>
      <c r="K39" s="32">
        <f t="shared" si="12"/>
        <v>-1.4021729999512899E-6</v>
      </c>
      <c r="L39" s="32">
        <f t="shared" si="13"/>
        <v>-4.2065189998538695E-10</v>
      </c>
      <c r="M39" s="32">
        <f t="shared" ca="1" si="14"/>
        <v>-1.3137563178316575E-2</v>
      </c>
      <c r="N39" s="32">
        <f t="shared" ca="1" si="15"/>
        <v>7.1633425125576693E-5</v>
      </c>
      <c r="O39" s="122">
        <f t="shared" ca="1" si="16"/>
        <v>114988354104.56786</v>
      </c>
      <c r="P39" s="32">
        <f t="shared" ca="1" si="17"/>
        <v>3475418303.7067566</v>
      </c>
      <c r="Q39" s="32">
        <f t="shared" ca="1" si="18"/>
        <v>710355520.70919871</v>
      </c>
      <c r="R39" s="16">
        <f t="shared" ca="1" si="19"/>
        <v>8.4636531784789415E-3</v>
      </c>
    </row>
    <row r="40" spans="1:18">
      <c r="A40" s="71">
        <v>5.5</v>
      </c>
      <c r="B40" s="71">
        <v>-5.1188350043958053E-3</v>
      </c>
      <c r="C40" s="71">
        <v>1</v>
      </c>
      <c r="D40" s="72">
        <f t="shared" si="5"/>
        <v>5.5000000000000003E-4</v>
      </c>
      <c r="E40" s="72">
        <f t="shared" si="6"/>
        <v>-5.1188350043958053E-3</v>
      </c>
      <c r="F40" s="32">
        <f t="shared" si="7"/>
        <v>5.5000000000000003E-4</v>
      </c>
      <c r="G40" s="32">
        <f t="shared" si="8"/>
        <v>-5.1188350043958053E-3</v>
      </c>
      <c r="H40" s="32">
        <f t="shared" si="9"/>
        <v>3.0250000000000002E-7</v>
      </c>
      <c r="I40" s="32">
        <f t="shared" si="10"/>
        <v>1.6637500000000001E-10</v>
      </c>
      <c r="J40" s="32">
        <f t="shared" si="11"/>
        <v>9.1506250000000012E-14</v>
      </c>
      <c r="K40" s="32">
        <f t="shared" si="12"/>
        <v>-2.8153592524176929E-6</v>
      </c>
      <c r="L40" s="32">
        <f t="shared" si="13"/>
        <v>-1.5484475888297311E-9</v>
      </c>
      <c r="M40" s="32">
        <f t="shared" ca="1" si="14"/>
        <v>-1.3127145948441683E-2</v>
      </c>
      <c r="N40" s="32">
        <f t="shared" ca="1" si="15"/>
        <v>6.4133044176524978E-5</v>
      </c>
      <c r="O40" s="122">
        <f t="shared" ca="1" si="16"/>
        <v>114978352876.11696</v>
      </c>
      <c r="P40" s="32">
        <f t="shared" ca="1" si="17"/>
        <v>3474144622.6430206</v>
      </c>
      <c r="Q40" s="32">
        <f t="shared" ca="1" si="18"/>
        <v>710418295.74962544</v>
      </c>
      <c r="R40" s="16">
        <f t="shared" ca="1" si="19"/>
        <v>8.0083109440458773E-3</v>
      </c>
    </row>
    <row r="41" spans="1:18">
      <c r="A41" s="71">
        <v>5.5</v>
      </c>
      <c r="B41" s="71">
        <v>-5.1188350043958053E-3</v>
      </c>
      <c r="C41" s="71">
        <v>1</v>
      </c>
      <c r="D41" s="72">
        <f t="shared" si="5"/>
        <v>5.5000000000000003E-4</v>
      </c>
      <c r="E41" s="72">
        <f t="shared" si="6"/>
        <v>-5.1188350043958053E-3</v>
      </c>
      <c r="F41" s="32">
        <f t="shared" si="7"/>
        <v>5.5000000000000003E-4</v>
      </c>
      <c r="G41" s="32">
        <f t="shared" si="8"/>
        <v>-5.1188350043958053E-3</v>
      </c>
      <c r="H41" s="32">
        <f t="shared" si="9"/>
        <v>3.0250000000000002E-7</v>
      </c>
      <c r="I41" s="32">
        <f t="shared" si="10"/>
        <v>1.6637500000000001E-10</v>
      </c>
      <c r="J41" s="32">
        <f t="shared" si="11"/>
        <v>9.1506250000000012E-14</v>
      </c>
      <c r="K41" s="32">
        <f t="shared" si="12"/>
        <v>-2.8153592524176929E-6</v>
      </c>
      <c r="L41" s="32">
        <f t="shared" si="13"/>
        <v>-1.5484475888297311E-9</v>
      </c>
      <c r="M41" s="32">
        <f t="shared" ca="1" si="14"/>
        <v>-1.3127145948441683E-2</v>
      </c>
      <c r="N41" s="32">
        <f t="shared" ca="1" si="15"/>
        <v>6.4133044176524978E-5</v>
      </c>
      <c r="O41" s="122">
        <f t="shared" ca="1" si="16"/>
        <v>114978352876.11696</v>
      </c>
      <c r="P41" s="32">
        <f t="shared" ca="1" si="17"/>
        <v>3474144622.6430206</v>
      </c>
      <c r="Q41" s="32">
        <f t="shared" ca="1" si="18"/>
        <v>710418295.74962544</v>
      </c>
      <c r="R41" s="16">
        <f t="shared" ca="1" si="19"/>
        <v>8.0083109440458773E-3</v>
      </c>
    </row>
    <row r="42" spans="1:18">
      <c r="A42" s="71">
        <v>9202.5</v>
      </c>
      <c r="B42" s="71">
        <v>-3.968925004301127E-3</v>
      </c>
      <c r="C42" s="71">
        <v>0.1</v>
      </c>
      <c r="D42" s="72">
        <f t="shared" si="5"/>
        <v>0.92025000000000001</v>
      </c>
      <c r="E42" s="72">
        <f t="shared" si="6"/>
        <v>-3.968925004301127E-3</v>
      </c>
      <c r="F42" s="32">
        <f t="shared" si="7"/>
        <v>9.202500000000001E-2</v>
      </c>
      <c r="G42" s="32">
        <f t="shared" si="8"/>
        <v>-3.9689250043011275E-4</v>
      </c>
      <c r="H42" s="32">
        <f t="shared" si="9"/>
        <v>8.4686006250000015E-2</v>
      </c>
      <c r="I42" s="32">
        <f t="shared" si="10"/>
        <v>7.7932297251562518E-2</v>
      </c>
      <c r="J42" s="32">
        <f t="shared" si="11"/>
        <v>7.1717196545750414E-2</v>
      </c>
      <c r="K42" s="32">
        <f t="shared" si="12"/>
        <v>-3.6524032352081123E-4</v>
      </c>
      <c r="L42" s="32">
        <f t="shared" si="13"/>
        <v>-3.3611240772002653E-4</v>
      </c>
      <c r="M42" s="32">
        <f t="shared" ca="1" si="14"/>
        <v>1.0956116272153996E-2</v>
      </c>
      <c r="N42" s="32">
        <f t="shared" ca="1" si="15"/>
        <v>2.2275685710388918E-5</v>
      </c>
      <c r="O42" s="122">
        <f t="shared" ca="1" si="16"/>
        <v>687929753.11324692</v>
      </c>
      <c r="P42" s="32">
        <f t="shared" ca="1" si="17"/>
        <v>5376715.1698525129</v>
      </c>
      <c r="Q42" s="32">
        <f t="shared" ca="1" si="18"/>
        <v>6577349.2022243207</v>
      </c>
      <c r="R42" s="16">
        <f t="shared" ca="1" si="19"/>
        <v>-1.4925041276455123E-2</v>
      </c>
    </row>
    <row r="43" spans="1:18">
      <c r="A43" s="71">
        <v>9227.5</v>
      </c>
      <c r="B43" s="71">
        <v>-2.4181750050047413E-3</v>
      </c>
      <c r="C43" s="71">
        <v>0.1</v>
      </c>
      <c r="D43" s="72">
        <f t="shared" si="5"/>
        <v>0.92274999999999996</v>
      </c>
      <c r="E43" s="72">
        <f t="shared" si="6"/>
        <v>-2.4181750050047413E-3</v>
      </c>
      <c r="F43" s="32">
        <f t="shared" si="7"/>
        <v>9.2274999999999996E-2</v>
      </c>
      <c r="G43" s="32">
        <f t="shared" si="8"/>
        <v>-2.4181750050047415E-4</v>
      </c>
      <c r="H43" s="32">
        <f t="shared" si="9"/>
        <v>8.5146756249999997E-2</v>
      </c>
      <c r="I43" s="32">
        <f t="shared" si="10"/>
        <v>7.8569169329687494E-2</v>
      </c>
      <c r="J43" s="32">
        <f t="shared" si="11"/>
        <v>7.249970099896913E-2</v>
      </c>
      <c r="K43" s="32">
        <f t="shared" si="12"/>
        <v>-2.231370985868125E-4</v>
      </c>
      <c r="L43" s="32">
        <f t="shared" si="13"/>
        <v>-2.0589975772098123E-4</v>
      </c>
      <c r="M43" s="32">
        <f t="shared" ca="1" si="14"/>
        <v>1.0982779292896361E-2</v>
      </c>
      <c r="N43" s="32">
        <f t="shared" ca="1" si="15"/>
        <v>1.7958557609443404E-5</v>
      </c>
      <c r="O43" s="122">
        <f t="shared" ca="1" si="16"/>
        <v>686513052.66104555</v>
      </c>
      <c r="P43" s="32">
        <f t="shared" ca="1" si="17"/>
        <v>5336759.6677261638</v>
      </c>
      <c r="Q43" s="32">
        <f t="shared" ca="1" si="18"/>
        <v>6568484.5970804486</v>
      </c>
      <c r="R43" s="16">
        <f t="shared" ca="1" si="19"/>
        <v>-1.3400954297901103E-2</v>
      </c>
    </row>
    <row r="44" spans="1:18">
      <c r="A44" s="71">
        <v>9305.5</v>
      </c>
      <c r="B44" s="71">
        <v>-3.5398350009927526E-3</v>
      </c>
      <c r="C44" s="71">
        <v>0.1</v>
      </c>
      <c r="D44" s="72">
        <f t="shared" si="5"/>
        <v>0.93054999999999999</v>
      </c>
      <c r="E44" s="72">
        <f t="shared" si="6"/>
        <v>-3.5398350009927526E-3</v>
      </c>
      <c r="F44" s="32">
        <f t="shared" si="7"/>
        <v>9.3054999999999999E-2</v>
      </c>
      <c r="G44" s="32">
        <f t="shared" si="8"/>
        <v>-3.5398350009927529E-4</v>
      </c>
      <c r="H44" s="32">
        <f t="shared" si="9"/>
        <v>8.6592330250000002E-2</v>
      </c>
      <c r="I44" s="32">
        <f t="shared" si="10"/>
        <v>8.0578492914137503E-2</v>
      </c>
      <c r="J44" s="32">
        <f t="shared" si="11"/>
        <v>7.4982316581250652E-2</v>
      </c>
      <c r="K44" s="32">
        <f t="shared" si="12"/>
        <v>-3.2939934601738062E-4</v>
      </c>
      <c r="L44" s="32">
        <f t="shared" si="13"/>
        <v>-3.0652256143647353E-4</v>
      </c>
      <c r="M44" s="32">
        <f t="shared" ca="1" si="14"/>
        <v>1.1064615781164362E-2</v>
      </c>
      <c r="N44" s="32">
        <f t="shared" ca="1" si="15"/>
        <v>2.1328998264844956E-5</v>
      </c>
      <c r="O44" s="122">
        <f t="shared" ca="1" si="16"/>
        <v>682091148.55447984</v>
      </c>
      <c r="P44" s="32">
        <f t="shared" ca="1" si="17"/>
        <v>5213229.2495402964</v>
      </c>
      <c r="Q44" s="32">
        <f t="shared" ca="1" si="18"/>
        <v>6540606.1061605746</v>
      </c>
      <c r="R44" s="16">
        <f t="shared" ca="1" si="19"/>
        <v>-1.4604450782157115E-2</v>
      </c>
    </row>
    <row r="45" spans="1:18">
      <c r="A45" s="71">
        <v>9903.5</v>
      </c>
      <c r="B45" s="71">
        <v>1.8294104993401561E-2</v>
      </c>
      <c r="C45" s="71">
        <v>1</v>
      </c>
      <c r="D45" s="72">
        <f t="shared" si="5"/>
        <v>0.99034999999999995</v>
      </c>
      <c r="E45" s="72">
        <f t="shared" si="6"/>
        <v>1.8294104993401561E-2</v>
      </c>
      <c r="F45" s="32">
        <f t="shared" si="7"/>
        <v>0.99034999999999995</v>
      </c>
      <c r="G45" s="32">
        <f t="shared" si="8"/>
        <v>1.8294104993401561E-2</v>
      </c>
      <c r="H45" s="32">
        <f t="shared" si="9"/>
        <v>0.98079312249999995</v>
      </c>
      <c r="I45" s="32">
        <f t="shared" si="10"/>
        <v>0.97132846886787494</v>
      </c>
      <c r="J45" s="32">
        <f t="shared" si="11"/>
        <v>0.96195514914329994</v>
      </c>
      <c r="K45" s="32">
        <f t="shared" si="12"/>
        <v>1.8117566880215236E-2</v>
      </c>
      <c r="L45" s="32">
        <f t="shared" si="13"/>
        <v>1.7942732359821158E-2</v>
      </c>
      <c r="M45" s="32">
        <f t="shared" ca="1" si="14"/>
        <v>1.1623993202557779E-2</v>
      </c>
      <c r="N45" s="32">
        <f t="shared" ca="1" si="15"/>
        <v>4.4490391302353248E-5</v>
      </c>
      <c r="O45" s="122">
        <f t="shared" ca="1" si="16"/>
        <v>64811586093.762695</v>
      </c>
      <c r="P45" s="32">
        <f t="shared" ca="1" si="17"/>
        <v>432214084.14751822</v>
      </c>
      <c r="Q45" s="32">
        <f t="shared" ca="1" si="18"/>
        <v>631601093.75576293</v>
      </c>
      <c r="R45" s="16">
        <f t="shared" ca="1" si="19"/>
        <v>6.6701117908437822E-3</v>
      </c>
    </row>
    <row r="46" spans="1:18">
      <c r="A46" s="71">
        <v>10360.5</v>
      </c>
      <c r="B46" s="71">
        <v>1.0301814996637404E-2</v>
      </c>
      <c r="C46" s="71">
        <v>1</v>
      </c>
      <c r="D46" s="72">
        <f t="shared" si="5"/>
        <v>1.0360499999999999</v>
      </c>
      <c r="E46" s="72">
        <f t="shared" si="6"/>
        <v>1.0301814996637404E-2</v>
      </c>
      <c r="F46" s="32">
        <f t="shared" si="7"/>
        <v>1.0360499999999999</v>
      </c>
      <c r="G46" s="32">
        <f t="shared" si="8"/>
        <v>1.0301814996637404E-2</v>
      </c>
      <c r="H46" s="32">
        <f t="shared" si="9"/>
        <v>1.0733996024999999</v>
      </c>
      <c r="I46" s="32">
        <f t="shared" si="10"/>
        <v>1.1120956581701247</v>
      </c>
      <c r="J46" s="32">
        <f t="shared" si="11"/>
        <v>1.1521867066471576</v>
      </c>
      <c r="K46" s="32">
        <f t="shared" si="12"/>
        <v>1.0673195427266181E-2</v>
      </c>
      <c r="L46" s="32">
        <f t="shared" si="13"/>
        <v>1.1057964122419125E-2</v>
      </c>
      <c r="M46" s="32">
        <f t="shared" ca="1" si="14"/>
        <v>1.1970333109902725E-2</v>
      </c>
      <c r="N46" s="32">
        <f t="shared" ca="1" si="15"/>
        <v>2.7839526942944681E-6</v>
      </c>
      <c r="O46" s="122">
        <f t="shared" ca="1" si="16"/>
        <v>62209540603.891655</v>
      </c>
      <c r="P46" s="32">
        <f t="shared" ca="1" si="17"/>
        <v>370616671.54628742</v>
      </c>
      <c r="Q46" s="32">
        <f t="shared" ca="1" si="18"/>
        <v>613193860.30925953</v>
      </c>
      <c r="R46" s="16">
        <f t="shared" ca="1" si="19"/>
        <v>-1.6685181132653215E-3</v>
      </c>
    </row>
    <row r="47" spans="1:18">
      <c r="A47" s="71">
        <v>17593</v>
      </c>
      <c r="B47" s="71">
        <v>2.2337900009006262E-3</v>
      </c>
      <c r="C47" s="71">
        <v>1</v>
      </c>
      <c r="D47" s="72">
        <f t="shared" si="5"/>
        <v>1.7593000000000001</v>
      </c>
      <c r="E47" s="72">
        <f t="shared" si="6"/>
        <v>2.2337900009006262E-3</v>
      </c>
      <c r="F47" s="32">
        <f t="shared" si="7"/>
        <v>1.7593000000000001</v>
      </c>
      <c r="G47" s="32">
        <f t="shared" si="8"/>
        <v>2.2337900009006262E-3</v>
      </c>
      <c r="H47" s="32">
        <f t="shared" si="9"/>
        <v>3.0951364900000002</v>
      </c>
      <c r="I47" s="32">
        <f t="shared" si="10"/>
        <v>5.4452736268570003</v>
      </c>
      <c r="J47" s="32">
        <f t="shared" si="11"/>
        <v>9.5798698917295209</v>
      </c>
      <c r="K47" s="32">
        <f t="shared" si="12"/>
        <v>3.9299067485844717E-3</v>
      </c>
      <c r="L47" s="32">
        <f t="shared" si="13"/>
        <v>6.9138849427846615E-3</v>
      </c>
      <c r="M47" s="32">
        <f t="shared" ca="1" si="14"/>
        <v>8.0915353311501181E-3</v>
      </c>
      <c r="N47" s="32">
        <f t="shared" ca="1" si="15"/>
        <v>3.4313180354059732E-5</v>
      </c>
      <c r="O47" s="122">
        <f t="shared" ca="1" si="16"/>
        <v>23375360867.593204</v>
      </c>
      <c r="P47" s="32">
        <f t="shared" ca="1" si="17"/>
        <v>6110307.6083442662</v>
      </c>
      <c r="Q47" s="32">
        <f t="shared" ca="1" si="18"/>
        <v>237601570.65746921</v>
      </c>
      <c r="R47" s="16">
        <f t="shared" ca="1" si="19"/>
        <v>-5.857745330249492E-3</v>
      </c>
    </row>
    <row r="48" spans="1:18">
      <c r="A48" s="71">
        <v>18216</v>
      </c>
      <c r="B48" s="71">
        <v>-7.1815199989941902E-3</v>
      </c>
      <c r="C48" s="71">
        <v>0.4</v>
      </c>
      <c r="D48" s="72">
        <f t="shared" si="5"/>
        <v>1.8216000000000001</v>
      </c>
      <c r="E48" s="72">
        <f t="shared" si="6"/>
        <v>-7.1815199989941902E-3</v>
      </c>
      <c r="F48" s="32">
        <f t="shared" si="7"/>
        <v>0.72864000000000007</v>
      </c>
      <c r="G48" s="32">
        <f t="shared" si="8"/>
        <v>-2.8726079995976764E-3</v>
      </c>
      <c r="H48" s="32">
        <f t="shared" si="9"/>
        <v>1.3272906240000002</v>
      </c>
      <c r="I48" s="32">
        <f t="shared" si="10"/>
        <v>2.4177926006784003</v>
      </c>
      <c r="J48" s="32">
        <f t="shared" si="11"/>
        <v>4.4042510013957745</v>
      </c>
      <c r="K48" s="32">
        <f t="shared" si="12"/>
        <v>-5.2327427320671277E-3</v>
      </c>
      <c r="L48" s="32">
        <f t="shared" si="13"/>
        <v>-9.5319641607334808E-3</v>
      </c>
      <c r="M48" s="32">
        <f t="shared" ca="1" si="14"/>
        <v>6.933754815215798E-3</v>
      </c>
      <c r="N48" s="32">
        <f t="shared" ca="1" si="15"/>
        <v>7.9696393232268339E-5</v>
      </c>
      <c r="O48" s="122">
        <f t="shared" ca="1" si="16"/>
        <v>3284247092.8640862</v>
      </c>
      <c r="P48" s="32">
        <f t="shared" ca="1" si="17"/>
        <v>2705804.330514818</v>
      </c>
      <c r="Q48" s="32">
        <f t="shared" ca="1" si="18"/>
        <v>32719350.514454942</v>
      </c>
      <c r="R48" s="16">
        <f t="shared" ca="1" si="19"/>
        <v>-1.4115274814209988E-2</v>
      </c>
    </row>
    <row r="49" spans="1:18">
      <c r="A49" s="71">
        <v>18283.5</v>
      </c>
      <c r="B49" s="71">
        <v>-7.7471000258810818E-4</v>
      </c>
      <c r="C49" s="71">
        <v>0.1</v>
      </c>
      <c r="D49" s="72">
        <f t="shared" si="5"/>
        <v>1.8283499999999999</v>
      </c>
      <c r="E49" s="72">
        <f t="shared" si="6"/>
        <v>-7.7471000258810818E-4</v>
      </c>
      <c r="F49" s="32">
        <f t="shared" si="7"/>
        <v>0.182835</v>
      </c>
      <c r="G49" s="32">
        <f t="shared" si="8"/>
        <v>-7.7471000258810826E-5</v>
      </c>
      <c r="H49" s="32">
        <f t="shared" si="9"/>
        <v>0.33428637224999996</v>
      </c>
      <c r="I49" s="32">
        <f t="shared" si="10"/>
        <v>0.61119248870328735</v>
      </c>
      <c r="J49" s="32">
        <f t="shared" si="11"/>
        <v>1.1174737867206554</v>
      </c>
      <c r="K49" s="32">
        <f t="shared" si="12"/>
        <v>-1.4164410332319677E-4</v>
      </c>
      <c r="L49" s="32">
        <f t="shared" si="13"/>
        <v>-2.5897499631096681E-4</v>
      </c>
      <c r="M49" s="32">
        <f t="shared" ca="1" si="14"/>
        <v>6.8004687707405517E-3</v>
      </c>
      <c r="N49" s="32">
        <f t="shared" ca="1" si="15"/>
        <v>5.7383333447889108E-6</v>
      </c>
      <c r="O49" s="122">
        <f t="shared" ca="1" si="16"/>
        <v>202254624.32753876</v>
      </c>
      <c r="P49" s="32">
        <f t="shared" ca="1" si="17"/>
        <v>183858.2352335334</v>
      </c>
      <c r="Q49" s="32">
        <f t="shared" ca="1" si="18"/>
        <v>2009747.0451142297</v>
      </c>
      <c r="R49" s="16">
        <f t="shared" ca="1" si="19"/>
        <v>-7.5751787733286599E-3</v>
      </c>
    </row>
    <row r="50" spans="1:18">
      <c r="A50" s="71">
        <v>19055</v>
      </c>
      <c r="B50" s="71">
        <v>3.8165000296430662E-4</v>
      </c>
      <c r="C50" s="71">
        <v>0.4</v>
      </c>
      <c r="D50" s="72">
        <f t="shared" si="5"/>
        <v>1.9055</v>
      </c>
      <c r="E50" s="72">
        <f t="shared" si="6"/>
        <v>3.8165000296430662E-4</v>
      </c>
      <c r="F50" s="32">
        <f t="shared" si="7"/>
        <v>0.76219999999999999</v>
      </c>
      <c r="G50" s="32">
        <f t="shared" si="8"/>
        <v>1.5266000118572265E-4</v>
      </c>
      <c r="H50" s="32">
        <f t="shared" si="9"/>
        <v>1.4523721000000001</v>
      </c>
      <c r="I50" s="32">
        <f t="shared" si="10"/>
        <v>2.7674950365500002</v>
      </c>
      <c r="J50" s="32">
        <f t="shared" si="11"/>
        <v>5.2734617921460254</v>
      </c>
      <c r="K50" s="32">
        <f t="shared" si="12"/>
        <v>2.9089363225939449E-4</v>
      </c>
      <c r="L50" s="32">
        <f t="shared" si="13"/>
        <v>5.5429781627027623E-4</v>
      </c>
      <c r="M50" s="32">
        <f t="shared" ca="1" si="14"/>
        <v>5.168118845083329E-3</v>
      </c>
      <c r="N50" s="32">
        <f t="shared" ca="1" si="15"/>
        <v>9.1641135906304869E-6</v>
      </c>
      <c r="O50" s="122">
        <f t="shared" ca="1" si="16"/>
        <v>2703574385.6115513</v>
      </c>
      <c r="P50" s="32">
        <f t="shared" ca="1" si="17"/>
        <v>6277364.2261567796</v>
      </c>
      <c r="Q50" s="32">
        <f t="shared" ca="1" si="18"/>
        <v>25897500.502224613</v>
      </c>
      <c r="R50" s="16">
        <f t="shared" ca="1" si="19"/>
        <v>-4.7864688421190224E-3</v>
      </c>
    </row>
    <row r="51" spans="1:18">
      <c r="A51" s="71">
        <v>20176.5</v>
      </c>
      <c r="B51" s="71">
        <v>-5.322155004250817E-3</v>
      </c>
      <c r="C51" s="71">
        <v>0.1</v>
      </c>
      <c r="D51" s="72">
        <f t="shared" si="5"/>
        <v>2.0176500000000002</v>
      </c>
      <c r="E51" s="72">
        <f t="shared" si="6"/>
        <v>-5.322155004250817E-3</v>
      </c>
      <c r="F51" s="32">
        <f t="shared" si="7"/>
        <v>0.20176500000000003</v>
      </c>
      <c r="G51" s="32">
        <f t="shared" si="8"/>
        <v>-5.3221550042508174E-4</v>
      </c>
      <c r="H51" s="32">
        <f t="shared" si="9"/>
        <v>0.40709115225000009</v>
      </c>
      <c r="I51" s="32">
        <f t="shared" si="10"/>
        <v>0.82136746333721278</v>
      </c>
      <c r="J51" s="32">
        <f t="shared" si="11"/>
        <v>1.6572320624023276</v>
      </c>
      <c r="K51" s="32">
        <f t="shared" si="12"/>
        <v>-1.0738246044326662E-3</v>
      </c>
      <c r="L51" s="32">
        <f t="shared" si="13"/>
        <v>-2.1666022131335691E-3</v>
      </c>
      <c r="M51" s="32">
        <f t="shared" ca="1" si="14"/>
        <v>2.4379296994784666E-3</v>
      </c>
      <c r="N51" s="32">
        <f t="shared" ca="1" si="15"/>
        <v>6.0218914609053205E-6</v>
      </c>
      <c r="O51" s="122">
        <f t="shared" ca="1" si="16"/>
        <v>124658999.92142622</v>
      </c>
      <c r="P51" s="32">
        <f t="shared" ca="1" si="17"/>
        <v>816437.01626449474</v>
      </c>
      <c r="Q51" s="32">
        <f t="shared" ca="1" si="18"/>
        <v>1097164.1324055558</v>
      </c>
      <c r="R51" s="16">
        <f t="shared" ca="1" si="19"/>
        <v>-7.7600847037292836E-3</v>
      </c>
    </row>
    <row r="52" spans="1:18">
      <c r="A52" s="71">
        <v>20226</v>
      </c>
      <c r="B52" s="71">
        <v>-9.7012199985329062E-3</v>
      </c>
      <c r="C52" s="71">
        <v>0.4</v>
      </c>
      <c r="D52" s="72">
        <f t="shared" si="5"/>
        <v>2.0226000000000002</v>
      </c>
      <c r="E52" s="72">
        <f t="shared" si="6"/>
        <v>-9.7012199985329062E-3</v>
      </c>
      <c r="F52" s="32">
        <f t="shared" si="7"/>
        <v>0.80904000000000009</v>
      </c>
      <c r="G52" s="32">
        <f t="shared" si="8"/>
        <v>-3.8804879994131626E-3</v>
      </c>
      <c r="H52" s="32">
        <f t="shared" si="9"/>
        <v>1.6363643040000004</v>
      </c>
      <c r="I52" s="32">
        <f t="shared" si="10"/>
        <v>3.309710441270401</v>
      </c>
      <c r="J52" s="32">
        <f t="shared" si="11"/>
        <v>6.6942203385135137</v>
      </c>
      <c r="K52" s="32">
        <f t="shared" si="12"/>
        <v>-7.848675027613064E-3</v>
      </c>
      <c r="L52" s="32">
        <f t="shared" si="13"/>
        <v>-1.5874730110850183E-2</v>
      </c>
      <c r="M52" s="32">
        <f t="shared" ca="1" si="14"/>
        <v>2.3076709500118864E-3</v>
      </c>
      <c r="N52" s="32">
        <f t="shared" ca="1" si="15"/>
        <v>5.7685384725616424E-5</v>
      </c>
      <c r="O52" s="122">
        <f t="shared" ca="1" si="16"/>
        <v>1965181300.5729823</v>
      </c>
      <c r="P52" s="32">
        <f t="shared" ca="1" si="17"/>
        <v>13411142.108705612</v>
      </c>
      <c r="Q52" s="32">
        <f t="shared" ca="1" si="18"/>
        <v>17211508.171266202</v>
      </c>
      <c r="R52" s="16">
        <f t="shared" ca="1" si="19"/>
        <v>-1.2008890948544793E-2</v>
      </c>
    </row>
    <row r="53" spans="1:18">
      <c r="A53" s="71">
        <v>21455</v>
      </c>
      <c r="B53" s="71">
        <v>-7.7463499983423389E-3</v>
      </c>
      <c r="C53" s="71">
        <v>0.4</v>
      </c>
      <c r="D53" s="72">
        <f t="shared" si="5"/>
        <v>2.1455000000000002</v>
      </c>
      <c r="E53" s="72">
        <f t="shared" si="6"/>
        <v>-7.7463499983423389E-3</v>
      </c>
      <c r="F53" s="32">
        <f t="shared" si="7"/>
        <v>0.85820000000000007</v>
      </c>
      <c r="G53" s="32">
        <f t="shared" si="8"/>
        <v>-3.0985399993369357E-3</v>
      </c>
      <c r="H53" s="32">
        <f t="shared" si="9"/>
        <v>1.8412681000000004</v>
      </c>
      <c r="I53" s="32">
        <f t="shared" si="10"/>
        <v>3.9504407085500013</v>
      </c>
      <c r="J53" s="32">
        <f t="shared" si="11"/>
        <v>8.4756705401940291</v>
      </c>
      <c r="K53" s="32">
        <f t="shared" si="12"/>
        <v>-6.6479175685773958E-3</v>
      </c>
      <c r="L53" s="32">
        <f t="shared" si="13"/>
        <v>-1.4263107143382804E-2</v>
      </c>
      <c r="M53" s="32">
        <f t="shared" ca="1" si="14"/>
        <v>-1.1908787441886198E-3</v>
      </c>
      <c r="N53" s="32">
        <f t="shared" ca="1" si="15"/>
        <v>1.7189681345614295E-5</v>
      </c>
      <c r="O53" s="122">
        <f t="shared" ca="1" si="16"/>
        <v>1293891738.0332098</v>
      </c>
      <c r="P53" s="32">
        <f t="shared" ca="1" si="17"/>
        <v>23236525.410823647</v>
      </c>
      <c r="Q53" s="32">
        <f t="shared" ca="1" si="18"/>
        <v>9531791.6550131943</v>
      </c>
      <c r="R53" s="16">
        <f t="shared" ca="1" si="19"/>
        <v>-6.5554712541537191E-3</v>
      </c>
    </row>
    <row r="54" spans="1:18">
      <c r="A54" s="71">
        <v>22154</v>
      </c>
      <c r="B54" s="71">
        <v>-7.5673799947253428E-3</v>
      </c>
      <c r="C54" s="71">
        <v>1</v>
      </c>
      <c r="D54" s="72">
        <f t="shared" si="5"/>
        <v>2.2153999999999998</v>
      </c>
      <c r="E54" s="72">
        <f t="shared" si="6"/>
        <v>-7.5673799947253428E-3</v>
      </c>
      <c r="F54" s="32">
        <f t="shared" si="7"/>
        <v>2.2153999999999998</v>
      </c>
      <c r="G54" s="32">
        <f t="shared" si="8"/>
        <v>-7.5673799947253428E-3</v>
      </c>
      <c r="H54" s="32">
        <f t="shared" si="9"/>
        <v>4.907997159999999</v>
      </c>
      <c r="I54" s="32">
        <f t="shared" si="10"/>
        <v>10.873176908263996</v>
      </c>
      <c r="J54" s="32">
        <f t="shared" si="11"/>
        <v>24.088436122568055</v>
      </c>
      <c r="K54" s="32">
        <f t="shared" si="12"/>
        <v>-1.6764773640314524E-2</v>
      </c>
      <c r="L54" s="32">
        <f t="shared" si="13"/>
        <v>-3.7140679522752795E-2</v>
      </c>
      <c r="M54" s="32">
        <f t="shared" ca="1" si="14"/>
        <v>-3.4075122620899484E-3</v>
      </c>
      <c r="N54" s="32">
        <f t="shared" ca="1" si="15"/>
        <v>1.7304499553021137E-5</v>
      </c>
      <c r="O54" s="122">
        <f t="shared" ca="1" si="16"/>
        <v>6034353513.7076588</v>
      </c>
      <c r="P54" s="32">
        <f t="shared" ca="1" si="17"/>
        <v>185899458.02249756</v>
      </c>
      <c r="Q54" s="32">
        <f t="shared" ca="1" si="18"/>
        <v>37506767.065042809</v>
      </c>
      <c r="R54" s="16">
        <f t="shared" ca="1" si="19"/>
        <v>-4.1598677326353944E-3</v>
      </c>
    </row>
    <row r="55" spans="1:18">
      <c r="A55" s="71">
        <v>22154.5</v>
      </c>
      <c r="B55" s="71">
        <v>-7.6963649989920668E-3</v>
      </c>
      <c r="C55" s="71">
        <v>1</v>
      </c>
      <c r="D55" s="72">
        <f t="shared" si="5"/>
        <v>2.2154500000000001</v>
      </c>
      <c r="E55" s="72">
        <f t="shared" si="6"/>
        <v>-7.6963649989920668E-3</v>
      </c>
      <c r="F55" s="32">
        <f t="shared" si="7"/>
        <v>2.2154500000000001</v>
      </c>
      <c r="G55" s="32">
        <f t="shared" si="8"/>
        <v>-7.6963649989920668E-3</v>
      </c>
      <c r="H55" s="32">
        <f t="shared" si="9"/>
        <v>4.908218702500001</v>
      </c>
      <c r="I55" s="32">
        <f t="shared" si="10"/>
        <v>10.873913124453628</v>
      </c>
      <c r="J55" s="32">
        <f t="shared" si="11"/>
        <v>24.090610831570793</v>
      </c>
      <c r="K55" s="32">
        <f t="shared" si="12"/>
        <v>-1.7050911837016975E-2</v>
      </c>
      <c r="L55" s="32">
        <f t="shared" si="13"/>
        <v>-3.7775442629319263E-2</v>
      </c>
      <c r="M55" s="32">
        <f t="shared" ca="1" si="14"/>
        <v>-3.4091567003976947E-3</v>
      </c>
      <c r="N55" s="32">
        <f t="shared" ca="1" si="15"/>
        <v>1.8380154995536452E-5</v>
      </c>
      <c r="O55" s="122">
        <f t="shared" ca="1" si="16"/>
        <v>6032978228.0764999</v>
      </c>
      <c r="P55" s="32">
        <f t="shared" ca="1" si="17"/>
        <v>185929895.34220535</v>
      </c>
      <c r="Q55" s="32">
        <f t="shared" ca="1" si="18"/>
        <v>37492531.174082562</v>
      </c>
      <c r="R55" s="16">
        <f t="shared" ca="1" si="19"/>
        <v>-4.2872082985943721E-3</v>
      </c>
    </row>
    <row r="56" spans="1:18">
      <c r="A56" s="71">
        <v>22157</v>
      </c>
      <c r="B56" s="71">
        <v>-7.1412899997085333E-3</v>
      </c>
      <c r="C56" s="71">
        <v>1</v>
      </c>
      <c r="D56" s="72">
        <f t="shared" si="5"/>
        <v>2.2157</v>
      </c>
      <c r="E56" s="72">
        <f t="shared" si="6"/>
        <v>-7.1412899997085333E-3</v>
      </c>
      <c r="F56" s="32">
        <f t="shared" si="7"/>
        <v>2.2157</v>
      </c>
      <c r="G56" s="32">
        <f t="shared" si="8"/>
        <v>-7.1412899997085333E-3</v>
      </c>
      <c r="H56" s="32">
        <f t="shared" si="9"/>
        <v>4.9093264899999998</v>
      </c>
      <c r="I56" s="32">
        <f t="shared" si="10"/>
        <v>10.877594703892999</v>
      </c>
      <c r="J56" s="32">
        <f t="shared" si="11"/>
        <v>24.101486585415717</v>
      </c>
      <c r="K56" s="32">
        <f t="shared" si="12"/>
        <v>-1.5822956252354196E-2</v>
      </c>
      <c r="L56" s="32">
        <f t="shared" si="13"/>
        <v>-3.5058924168341193E-2</v>
      </c>
      <c r="M56" s="32">
        <f t="shared" ca="1" si="14"/>
        <v>-3.4173801541995952E-3</v>
      </c>
      <c r="N56" s="32">
        <f t="shared" ca="1" si="15"/>
        <v>1.3867504537478404E-5</v>
      </c>
      <c r="O56" s="122">
        <f t="shared" ca="1" si="16"/>
        <v>6026103840.6617489</v>
      </c>
      <c r="P56" s="32">
        <f t="shared" ca="1" si="17"/>
        <v>186082109.66439626</v>
      </c>
      <c r="Q56" s="32">
        <f t="shared" ca="1" si="18"/>
        <v>37421386.460831925</v>
      </c>
      <c r="R56" s="16">
        <f t="shared" ca="1" si="19"/>
        <v>-3.7239098455089381E-3</v>
      </c>
    </row>
    <row r="57" spans="1:18">
      <c r="A57" s="71">
        <v>22159.5</v>
      </c>
      <c r="B57" s="71">
        <v>-7.7862149992142804E-3</v>
      </c>
      <c r="C57" s="71">
        <v>1</v>
      </c>
      <c r="D57" s="72">
        <f t="shared" si="5"/>
        <v>2.2159499999999999</v>
      </c>
      <c r="E57" s="72">
        <f t="shared" si="6"/>
        <v>-7.7862149992142804E-3</v>
      </c>
      <c r="F57" s="32">
        <f t="shared" si="7"/>
        <v>2.2159499999999999</v>
      </c>
      <c r="G57" s="32">
        <f t="shared" si="8"/>
        <v>-7.7862149992142804E-3</v>
      </c>
      <c r="H57" s="32">
        <f t="shared" si="9"/>
        <v>4.9104344024999991</v>
      </c>
      <c r="I57" s="32">
        <f t="shared" si="10"/>
        <v>10.881277114219872</v>
      </c>
      <c r="J57" s="32">
        <f t="shared" si="11"/>
        <v>24.112366021255522</v>
      </c>
      <c r="K57" s="32">
        <f t="shared" si="12"/>
        <v>-1.7253863127508883E-2</v>
      </c>
      <c r="L57" s="32">
        <f t="shared" si="13"/>
        <v>-3.823369799740331E-2</v>
      </c>
      <c r="M57" s="32">
        <f t="shared" ca="1" si="14"/>
        <v>-3.4256057117736799E-3</v>
      </c>
      <c r="N57" s="32">
        <f t="shared" ca="1" si="15"/>
        <v>1.901491335771322E-5</v>
      </c>
      <c r="O57" s="122">
        <f t="shared" ca="1" si="16"/>
        <v>6019232855.1307449</v>
      </c>
      <c r="P57" s="32">
        <f t="shared" ca="1" si="17"/>
        <v>186234370.17820099</v>
      </c>
      <c r="Q57" s="32">
        <f t="shared" ca="1" si="18"/>
        <v>37350299.670339234</v>
      </c>
      <c r="R57" s="16">
        <f t="shared" ca="1" si="19"/>
        <v>-4.3606092874406005E-3</v>
      </c>
    </row>
    <row r="58" spans="1:18">
      <c r="A58" s="71">
        <v>22159.5</v>
      </c>
      <c r="B58" s="71">
        <v>-7.4862149995169602E-3</v>
      </c>
      <c r="C58" s="71">
        <v>1</v>
      </c>
      <c r="D58" s="72">
        <f t="shared" si="5"/>
        <v>2.2159499999999999</v>
      </c>
      <c r="E58" s="72">
        <f t="shared" si="6"/>
        <v>-7.4862149995169602E-3</v>
      </c>
      <c r="F58" s="32">
        <f t="shared" si="7"/>
        <v>2.2159499999999999</v>
      </c>
      <c r="G58" s="32">
        <f t="shared" si="8"/>
        <v>-7.4862149995169602E-3</v>
      </c>
      <c r="H58" s="32">
        <f t="shared" si="9"/>
        <v>4.9104344024999991</v>
      </c>
      <c r="I58" s="32">
        <f t="shared" si="10"/>
        <v>10.881277114219872</v>
      </c>
      <c r="J58" s="32">
        <f t="shared" si="11"/>
        <v>24.112366021255522</v>
      </c>
      <c r="K58" s="32">
        <f t="shared" si="12"/>
        <v>-1.6589078128179606E-2</v>
      </c>
      <c r="L58" s="32">
        <f t="shared" si="13"/>
        <v>-3.6760567678139594E-2</v>
      </c>
      <c r="M58" s="32">
        <f t="shared" ca="1" si="14"/>
        <v>-3.4256057117736799E-3</v>
      </c>
      <c r="N58" s="32">
        <f t="shared" ca="1" si="15"/>
        <v>1.6488547787706992E-5</v>
      </c>
      <c r="O58" s="122">
        <f t="shared" ca="1" si="16"/>
        <v>6019232855.1307449</v>
      </c>
      <c r="P58" s="32">
        <f t="shared" ca="1" si="17"/>
        <v>186234370.17820099</v>
      </c>
      <c r="Q58" s="32">
        <f t="shared" ca="1" si="18"/>
        <v>37350299.670339234</v>
      </c>
      <c r="R58" s="16">
        <f t="shared" ca="1" si="19"/>
        <v>-4.0606092877432803E-3</v>
      </c>
    </row>
    <row r="59" spans="1:18">
      <c r="A59" s="71">
        <v>22160</v>
      </c>
      <c r="B59" s="71">
        <v>-6.9151999996392988E-3</v>
      </c>
      <c r="C59" s="71">
        <v>1</v>
      </c>
      <c r="D59" s="72">
        <f t="shared" si="5"/>
        <v>2.2160000000000002</v>
      </c>
      <c r="E59" s="72">
        <f t="shared" si="6"/>
        <v>-6.9151999996392988E-3</v>
      </c>
      <c r="F59" s="32">
        <f t="shared" si="7"/>
        <v>2.2160000000000002</v>
      </c>
      <c r="G59" s="32">
        <f t="shared" si="8"/>
        <v>-6.9151999996392988E-3</v>
      </c>
      <c r="H59" s="32">
        <f t="shared" si="9"/>
        <v>4.9106560000000012</v>
      </c>
      <c r="I59" s="32">
        <f t="shared" si="10"/>
        <v>10.882013696000003</v>
      </c>
      <c r="J59" s="32">
        <f t="shared" si="11"/>
        <v>24.114542350336009</v>
      </c>
      <c r="K59" s="32">
        <f t="shared" si="12"/>
        <v>-1.5324083199200688E-2</v>
      </c>
      <c r="L59" s="32">
        <f t="shared" si="13"/>
        <v>-3.3958168369428728E-2</v>
      </c>
      <c r="M59" s="32">
        <f t="shared" ca="1" si="14"/>
        <v>-3.4272510757411834E-3</v>
      </c>
      <c r="N59" s="32">
        <f t="shared" ca="1" si="15"/>
        <v>1.2165787695722021E-5</v>
      </c>
      <c r="O59" s="122">
        <f t="shared" ca="1" si="16"/>
        <v>6017859066.3284502</v>
      </c>
      <c r="P59" s="32">
        <f t="shared" ca="1" si="17"/>
        <v>186264827.82221913</v>
      </c>
      <c r="Q59" s="32">
        <f t="shared" ca="1" si="18"/>
        <v>37336089.265392706</v>
      </c>
      <c r="R59" s="16">
        <f t="shared" ca="1" si="19"/>
        <v>-3.4879489238981154E-3</v>
      </c>
    </row>
    <row r="60" spans="1:18">
      <c r="A60" s="71">
        <v>22168.5</v>
      </c>
      <c r="B60" s="71">
        <v>-6.407945002138149E-3</v>
      </c>
      <c r="C60" s="71">
        <v>1</v>
      </c>
      <c r="D60" s="72">
        <f t="shared" si="5"/>
        <v>2.21685</v>
      </c>
      <c r="E60" s="72">
        <f t="shared" si="6"/>
        <v>-6.407945002138149E-3</v>
      </c>
      <c r="F60" s="32">
        <f t="shared" si="7"/>
        <v>2.21685</v>
      </c>
      <c r="G60" s="32">
        <f t="shared" si="8"/>
        <v>-6.407945002138149E-3</v>
      </c>
      <c r="H60" s="32">
        <f t="shared" si="9"/>
        <v>4.9144239225000002</v>
      </c>
      <c r="I60" s="32">
        <f t="shared" si="10"/>
        <v>10.894540672594125</v>
      </c>
      <c r="J60" s="32">
        <f t="shared" si="11"/>
        <v>24.151562490040288</v>
      </c>
      <c r="K60" s="32">
        <f t="shared" si="12"/>
        <v>-1.4205452877989955E-2</v>
      </c>
      <c r="L60" s="32">
        <f t="shared" si="13"/>
        <v>-3.1491358212572033E-2</v>
      </c>
      <c r="M60" s="32">
        <f t="shared" ca="1" si="14"/>
        <v>-3.4552351382739765E-3</v>
      </c>
      <c r="N60" s="32">
        <f t="shared" ca="1" si="15"/>
        <v>8.7184955401607804E-6</v>
      </c>
      <c r="O60" s="122">
        <f t="shared" ca="1" si="16"/>
        <v>5994525488.493618</v>
      </c>
      <c r="P60" s="32">
        <f t="shared" ca="1" si="17"/>
        <v>186782890.18945694</v>
      </c>
      <c r="Q60" s="32">
        <f t="shared" ca="1" si="18"/>
        <v>37094867.250306889</v>
      </c>
      <c r="R60" s="16">
        <f t="shared" ca="1" si="19"/>
        <v>-2.9527098638641724E-3</v>
      </c>
    </row>
    <row r="61" spans="1:18">
      <c r="A61" s="71">
        <v>22289</v>
      </c>
      <c r="B61" s="71">
        <v>-7.893330002843868E-3</v>
      </c>
      <c r="C61" s="71">
        <v>0.4</v>
      </c>
      <c r="D61" s="72">
        <f t="shared" si="5"/>
        <v>2.2288999999999999</v>
      </c>
      <c r="E61" s="72">
        <f t="shared" si="6"/>
        <v>-7.893330002843868E-3</v>
      </c>
      <c r="F61" s="32">
        <f t="shared" si="7"/>
        <v>0.89156000000000002</v>
      </c>
      <c r="G61" s="32">
        <f t="shared" si="8"/>
        <v>-3.1573320011375472E-3</v>
      </c>
      <c r="H61" s="32">
        <f t="shared" si="9"/>
        <v>1.9871980839999999</v>
      </c>
      <c r="I61" s="32">
        <f t="shared" si="10"/>
        <v>4.4292658094275996</v>
      </c>
      <c r="J61" s="32">
        <f t="shared" si="11"/>
        <v>9.8723905626331767</v>
      </c>
      <c r="K61" s="32">
        <f t="shared" si="12"/>
        <v>-7.0373772973354783E-3</v>
      </c>
      <c r="L61" s="32">
        <f t="shared" si="13"/>
        <v>-1.5685610258031047E-2</v>
      </c>
      <c r="M61" s="32">
        <f t="shared" ca="1" si="14"/>
        <v>-3.854566544627458E-3</v>
      </c>
      <c r="N61" s="32">
        <f t="shared" ca="1" si="15"/>
        <v>6.52464410856967E-6</v>
      </c>
      <c r="O61" s="122">
        <f t="shared" ca="1" si="16"/>
        <v>906878347.15650344</v>
      </c>
      <c r="P61" s="32">
        <f t="shared" ca="1" si="17"/>
        <v>31069463.905458808</v>
      </c>
      <c r="Q61" s="32">
        <f t="shared" ca="1" si="18"/>
        <v>5399662.462741062</v>
      </c>
      <c r="R61" s="16">
        <f t="shared" ca="1" si="19"/>
        <v>-4.03876345821641E-3</v>
      </c>
    </row>
    <row r="62" spans="1:18">
      <c r="A62" s="71">
        <v>23291</v>
      </c>
      <c r="B62" s="71">
        <v>-1.8379270004516002E-2</v>
      </c>
      <c r="C62" s="71">
        <v>0.4</v>
      </c>
      <c r="D62" s="72">
        <f t="shared" si="5"/>
        <v>2.3290999999999999</v>
      </c>
      <c r="E62" s="72">
        <f t="shared" si="6"/>
        <v>-1.8379270004516002E-2</v>
      </c>
      <c r="F62" s="32">
        <f t="shared" si="7"/>
        <v>0.93164000000000002</v>
      </c>
      <c r="G62" s="32">
        <f t="shared" si="8"/>
        <v>-7.3517080018064007E-3</v>
      </c>
      <c r="H62" s="32">
        <f t="shared" si="9"/>
        <v>2.1698827239999998</v>
      </c>
      <c r="I62" s="32">
        <f t="shared" si="10"/>
        <v>5.0538738524683993</v>
      </c>
      <c r="J62" s="32">
        <f t="shared" si="11"/>
        <v>11.770977589784149</v>
      </c>
      <c r="K62" s="32">
        <f t="shared" si="12"/>
        <v>-1.7122863107007287E-2</v>
      </c>
      <c r="L62" s="32">
        <f t="shared" si="13"/>
        <v>-3.9880860462530671E-2</v>
      </c>
      <c r="M62" s="32">
        <f t="shared" ca="1" si="14"/>
        <v>-7.3644446097027028E-3</v>
      </c>
      <c r="N62" s="32">
        <f t="shared" ca="1" si="15"/>
        <v>4.8530551391289586E-5</v>
      </c>
      <c r="O62" s="122">
        <f t="shared" ca="1" si="16"/>
        <v>523601242.00776958</v>
      </c>
      <c r="P62" s="32">
        <f t="shared" ca="1" si="17"/>
        <v>41533714.684128061</v>
      </c>
      <c r="Q62" s="32">
        <f t="shared" ca="1" si="18"/>
        <v>1849074.4820928641</v>
      </c>
      <c r="R62" s="16">
        <f t="shared" ca="1" si="19"/>
        <v>-1.1014825394813299E-2</v>
      </c>
    </row>
    <row r="63" spans="1:18">
      <c r="A63" s="71">
        <v>23448</v>
      </c>
      <c r="B63" s="71">
        <v>-1.7680560005828738E-2</v>
      </c>
      <c r="C63" s="71">
        <v>1</v>
      </c>
      <c r="D63" s="72">
        <f t="shared" si="5"/>
        <v>2.3448000000000002</v>
      </c>
      <c r="E63" s="72">
        <f t="shared" si="6"/>
        <v>-1.7680560005828738E-2</v>
      </c>
      <c r="F63" s="32">
        <f t="shared" si="7"/>
        <v>2.3448000000000002</v>
      </c>
      <c r="G63" s="32">
        <f t="shared" si="8"/>
        <v>-1.7680560005828738E-2</v>
      </c>
      <c r="H63" s="32">
        <f t="shared" si="9"/>
        <v>5.4980870400000006</v>
      </c>
      <c r="I63" s="32">
        <f t="shared" si="10"/>
        <v>12.891914491392003</v>
      </c>
      <c r="J63" s="32">
        <f t="shared" si="11"/>
        <v>30.228961099415969</v>
      </c>
      <c r="K63" s="32">
        <f t="shared" si="12"/>
        <v>-4.1457377101667227E-2</v>
      </c>
      <c r="L63" s="32">
        <f t="shared" si="13"/>
        <v>-9.7209257827989323E-2</v>
      </c>
      <c r="M63" s="32">
        <f t="shared" ca="1" si="14"/>
        <v>-7.9450202596196146E-3</v>
      </c>
      <c r="N63" s="32">
        <f t="shared" ca="1" si="15"/>
        <v>9.4780734150017604E-5</v>
      </c>
      <c r="O63" s="122">
        <f t="shared" ca="1" si="16"/>
        <v>2951141924.0577817</v>
      </c>
      <c r="P63" s="32">
        <f t="shared" ca="1" si="17"/>
        <v>270409654.31043452</v>
      </c>
      <c r="Q63" s="32">
        <f t="shared" ca="1" si="18"/>
        <v>9062830.3339856062</v>
      </c>
      <c r="R63" s="16">
        <f t="shared" ca="1" si="19"/>
        <v>-9.7355397462091237E-3</v>
      </c>
    </row>
    <row r="64" spans="1:18">
      <c r="A64" s="71">
        <v>23453.5</v>
      </c>
      <c r="B64" s="71">
        <v>-2.0699395005067345E-2</v>
      </c>
      <c r="C64" s="71">
        <v>1</v>
      </c>
      <c r="D64" s="72">
        <f t="shared" si="5"/>
        <v>2.3453499999999998</v>
      </c>
      <c r="E64" s="72">
        <f t="shared" si="6"/>
        <v>-2.0699395005067345E-2</v>
      </c>
      <c r="F64" s="32">
        <f t="shared" si="7"/>
        <v>2.3453499999999998</v>
      </c>
      <c r="G64" s="32">
        <f t="shared" si="8"/>
        <v>-2.0699395005067345E-2</v>
      </c>
      <c r="H64" s="32">
        <f t="shared" si="9"/>
        <v>5.5006666224999989</v>
      </c>
      <c r="I64" s="32">
        <f t="shared" si="10"/>
        <v>12.900988463080372</v>
      </c>
      <c r="J64" s="32">
        <f t="shared" si="11"/>
        <v>30.257333291885548</v>
      </c>
      <c r="K64" s="32">
        <f t="shared" si="12"/>
        <v>-4.8547326075134692E-2</v>
      </c>
      <c r="L64" s="32">
        <f t="shared" si="13"/>
        <v>-0.11386047121031714</v>
      </c>
      <c r="M64" s="32">
        <f t="shared" ca="1" si="14"/>
        <v>-7.965509316747138E-3</v>
      </c>
      <c r="N64" s="32">
        <f t="shared" ca="1" si="15"/>
        <v>1.6215184472320618E-4</v>
      </c>
      <c r="O64" s="122">
        <f t="shared" ca="1" si="16"/>
        <v>2940159098.3508139</v>
      </c>
      <c r="P64" s="32">
        <f t="shared" ca="1" si="17"/>
        <v>270791457.69717914</v>
      </c>
      <c r="Q64" s="32">
        <f t="shared" ca="1" si="18"/>
        <v>8980615.4132055435</v>
      </c>
      <c r="R64" s="16">
        <f t="shared" ca="1" si="19"/>
        <v>-1.2733885688320207E-2</v>
      </c>
    </row>
    <row r="65" spans="1:18">
      <c r="A65" s="71">
        <v>24145.5</v>
      </c>
      <c r="B65" s="71">
        <v>-1.7614634998608381E-2</v>
      </c>
      <c r="C65" s="71">
        <v>1</v>
      </c>
      <c r="D65" s="72">
        <f t="shared" si="5"/>
        <v>2.4145500000000002</v>
      </c>
      <c r="E65" s="72">
        <f t="shared" si="6"/>
        <v>-1.7614634998608381E-2</v>
      </c>
      <c r="F65" s="32">
        <f t="shared" si="7"/>
        <v>2.4145500000000002</v>
      </c>
      <c r="G65" s="32">
        <f t="shared" si="8"/>
        <v>-1.7614634998608381E-2</v>
      </c>
      <c r="H65" s="32">
        <f t="shared" si="9"/>
        <v>5.8300517025000014</v>
      </c>
      <c r="I65" s="32">
        <f t="shared" si="10"/>
        <v>14.07695133827138</v>
      </c>
      <c r="J65" s="32">
        <f t="shared" si="11"/>
        <v>33.989502853823161</v>
      </c>
      <c r="K65" s="32">
        <f t="shared" si="12"/>
        <v>-4.2531416935889868E-2</v>
      </c>
      <c r="L65" s="32">
        <f t="shared" si="13"/>
        <v>-0.10269423276255289</v>
      </c>
      <c r="M65" s="32">
        <f t="shared" ca="1" si="14"/>
        <v>-1.0624639448709353E-2</v>
      </c>
      <c r="N65" s="32">
        <f t="shared" ca="1" si="15"/>
        <v>4.8860037787608217E-5</v>
      </c>
      <c r="O65" s="122">
        <f t="shared" ca="1" si="16"/>
        <v>1711008857.5259817</v>
      </c>
      <c r="P65" s="32">
        <f t="shared" ca="1" si="17"/>
        <v>320163073.3040911</v>
      </c>
      <c r="Q65" s="32">
        <f t="shared" ca="1" si="18"/>
        <v>1548423.2538540291</v>
      </c>
      <c r="R65" s="16">
        <f t="shared" ca="1" si="19"/>
        <v>-6.9899955498990279E-3</v>
      </c>
    </row>
    <row r="66" spans="1:18">
      <c r="A66" s="71">
        <v>24178</v>
      </c>
      <c r="B66" s="71">
        <v>-1.7498660003184341E-2</v>
      </c>
      <c r="C66" s="71">
        <v>1</v>
      </c>
      <c r="D66" s="72">
        <f t="shared" si="5"/>
        <v>2.4178000000000002</v>
      </c>
      <c r="E66" s="72">
        <f t="shared" si="6"/>
        <v>-1.7498660003184341E-2</v>
      </c>
      <c r="F66" s="32">
        <f t="shared" si="7"/>
        <v>2.4178000000000002</v>
      </c>
      <c r="G66" s="32">
        <f t="shared" si="8"/>
        <v>-1.7498660003184341E-2</v>
      </c>
      <c r="H66" s="32">
        <f t="shared" si="9"/>
        <v>5.8457568400000008</v>
      </c>
      <c r="I66" s="32">
        <f t="shared" si="10"/>
        <v>14.133870887752003</v>
      </c>
      <c r="J66" s="32">
        <f t="shared" si="11"/>
        <v>34.172873032406798</v>
      </c>
      <c r="K66" s="32">
        <f t="shared" si="12"/>
        <v>-4.23082601556991E-2</v>
      </c>
      <c r="L66" s="32">
        <f t="shared" si="13"/>
        <v>-0.10229291140444929</v>
      </c>
      <c r="M66" s="32">
        <f t="shared" ca="1" si="14"/>
        <v>-1.0753489216379072E-2</v>
      </c>
      <c r="N66" s="32">
        <f t="shared" ca="1" si="15"/>
        <v>4.5497328943171206E-5</v>
      </c>
      <c r="O66" s="122">
        <f t="shared" ca="1" si="16"/>
        <v>1660900382.6072369</v>
      </c>
      <c r="P66" s="32">
        <f t="shared" ca="1" si="17"/>
        <v>322543528.11762851</v>
      </c>
      <c r="Q66" s="32">
        <f t="shared" ca="1" si="18"/>
        <v>1346918.1309368941</v>
      </c>
      <c r="R66" s="16">
        <f t="shared" ca="1" si="19"/>
        <v>-6.7451707868052685E-3</v>
      </c>
    </row>
    <row r="67" spans="1:18">
      <c r="A67" s="71">
        <v>24343.5</v>
      </c>
      <c r="B67" s="71">
        <v>-1.8192695002653636E-2</v>
      </c>
      <c r="C67" s="71">
        <v>1</v>
      </c>
      <c r="D67" s="72">
        <f t="shared" si="5"/>
        <v>2.4343499999999998</v>
      </c>
      <c r="E67" s="72">
        <f t="shared" si="6"/>
        <v>-1.8192695002653636E-2</v>
      </c>
      <c r="F67" s="32">
        <f t="shared" si="7"/>
        <v>2.4343499999999998</v>
      </c>
      <c r="G67" s="32">
        <f t="shared" si="8"/>
        <v>-1.8192695002653636E-2</v>
      </c>
      <c r="H67" s="32">
        <f t="shared" si="9"/>
        <v>5.9260599224999986</v>
      </c>
      <c r="I67" s="32">
        <f t="shared" si="10"/>
        <v>14.42610397233787</v>
      </c>
      <c r="J67" s="32">
        <f t="shared" si="11"/>
        <v>35.118186205060688</v>
      </c>
      <c r="K67" s="32">
        <f t="shared" si="12"/>
        <v>-4.4287387079709875E-2</v>
      </c>
      <c r="L67" s="32">
        <f t="shared" si="13"/>
        <v>-0.10781100073749172</v>
      </c>
      <c r="M67" s="32">
        <f t="shared" ca="1" si="14"/>
        <v>-1.1415146960251005E-2</v>
      </c>
      <c r="N67" s="32">
        <f t="shared" ca="1" si="15"/>
        <v>4.5935157467075742E-5</v>
      </c>
      <c r="O67" s="122">
        <f t="shared" ca="1" si="16"/>
        <v>1416626586.6726637</v>
      </c>
      <c r="P67" s="32">
        <f t="shared" ca="1" si="17"/>
        <v>334745751.47666776</v>
      </c>
      <c r="Q67" s="32">
        <f t="shared" ca="1" si="18"/>
        <v>535564.80685684807</v>
      </c>
      <c r="R67" s="16">
        <f t="shared" ca="1" si="19"/>
        <v>-6.7775480424026313E-3</v>
      </c>
    </row>
    <row r="68" spans="1:18">
      <c r="A68" s="71">
        <v>24348.5</v>
      </c>
      <c r="B68" s="71">
        <v>-1.8782544997520745E-2</v>
      </c>
      <c r="C68" s="71">
        <v>0.5</v>
      </c>
      <c r="D68" s="72">
        <f t="shared" si="5"/>
        <v>2.43485</v>
      </c>
      <c r="E68" s="72">
        <f t="shared" si="6"/>
        <v>-1.8782544997520745E-2</v>
      </c>
      <c r="F68" s="32">
        <f t="shared" si="7"/>
        <v>1.217425</v>
      </c>
      <c r="G68" s="32">
        <f t="shared" si="8"/>
        <v>-9.3912724987603724E-3</v>
      </c>
      <c r="H68" s="32">
        <f t="shared" si="9"/>
        <v>2.9642472612499997</v>
      </c>
      <c r="I68" s="32">
        <f t="shared" si="10"/>
        <v>7.2174974440545618</v>
      </c>
      <c r="J68" s="32">
        <f t="shared" si="11"/>
        <v>17.573523651656249</v>
      </c>
      <c r="K68" s="32">
        <f t="shared" si="12"/>
        <v>-2.2866339843606691E-2</v>
      </c>
      <c r="L68" s="32">
        <f t="shared" si="13"/>
        <v>-5.5676107568205749E-2</v>
      </c>
      <c r="M68" s="32">
        <f t="shared" ca="1" si="14"/>
        <v>-1.1435280097448611E-2</v>
      </c>
      <c r="N68" s="32">
        <f t="shared" ca="1" si="15"/>
        <v>2.6991150755915994E-5</v>
      </c>
      <c r="O68" s="122">
        <f t="shared" ca="1" si="16"/>
        <v>352382965.42850417</v>
      </c>
      <c r="P68" s="32">
        <f t="shared" ca="1" si="17"/>
        <v>83779113.083203644</v>
      </c>
      <c r="Q68" s="32">
        <f t="shared" ca="1" si="18"/>
        <v>129174.1496425579</v>
      </c>
      <c r="R68" s="16">
        <f t="shared" ca="1" si="19"/>
        <v>-7.3472649000721341E-3</v>
      </c>
    </row>
    <row r="69" spans="1:18">
      <c r="A69" s="71">
        <v>24349</v>
      </c>
      <c r="B69" s="71">
        <v>-1.9811530000879429E-2</v>
      </c>
      <c r="C69" s="71">
        <v>0.4</v>
      </c>
      <c r="D69" s="72">
        <f t="shared" si="5"/>
        <v>2.4348999999999998</v>
      </c>
      <c r="E69" s="72">
        <f t="shared" si="6"/>
        <v>-1.9811530000879429E-2</v>
      </c>
      <c r="F69" s="32">
        <f t="shared" si="7"/>
        <v>0.97395999999999994</v>
      </c>
      <c r="G69" s="32">
        <f t="shared" si="8"/>
        <v>-7.9246120003517717E-3</v>
      </c>
      <c r="H69" s="32">
        <f t="shared" si="9"/>
        <v>2.3714952039999999</v>
      </c>
      <c r="I69" s="32">
        <f t="shared" si="10"/>
        <v>5.7743536722195996</v>
      </c>
      <c r="J69" s="32">
        <f t="shared" si="11"/>
        <v>14.059973756487501</v>
      </c>
      <c r="K69" s="32">
        <f t="shared" si="12"/>
        <v>-1.9295637759656526E-2</v>
      </c>
      <c r="L69" s="32">
        <f t="shared" si="13"/>
        <v>-4.6982948380987676E-2</v>
      </c>
      <c r="M69" s="32">
        <f t="shared" ca="1" si="14"/>
        <v>-1.143729387399825E-2</v>
      </c>
      <c r="N69" s="32">
        <f t="shared" ca="1" si="15"/>
        <v>2.8051132283504761E-5</v>
      </c>
      <c r="O69" s="122">
        <f t="shared" ca="1" si="16"/>
        <v>225411730.20411298</v>
      </c>
      <c r="P69" s="32">
        <f t="shared" ca="1" si="17"/>
        <v>53624564.632482044</v>
      </c>
      <c r="Q69" s="32">
        <f t="shared" ca="1" si="18"/>
        <v>82372.502114092727</v>
      </c>
      <c r="R69" s="16">
        <f t="shared" ca="1" si="19"/>
        <v>-8.3742361268811794E-3</v>
      </c>
    </row>
    <row r="70" spans="1:18">
      <c r="A70" s="71">
        <v>24365.5</v>
      </c>
      <c r="B70" s="71">
        <v>-1.826803499716334E-2</v>
      </c>
      <c r="C70" s="71">
        <v>0.5</v>
      </c>
      <c r="D70" s="72">
        <f t="shared" si="5"/>
        <v>2.43655</v>
      </c>
      <c r="E70" s="72">
        <f t="shared" si="6"/>
        <v>-1.826803499716334E-2</v>
      </c>
      <c r="F70" s="32">
        <f t="shared" si="7"/>
        <v>1.218275</v>
      </c>
      <c r="G70" s="32">
        <f t="shared" si="8"/>
        <v>-9.1340174985816702E-3</v>
      </c>
      <c r="H70" s="32">
        <f t="shared" si="9"/>
        <v>2.96838795125</v>
      </c>
      <c r="I70" s="32">
        <f t="shared" si="10"/>
        <v>7.2326256626181875</v>
      </c>
      <c r="J70" s="32">
        <f t="shared" si="11"/>
        <v>17.622654058252344</v>
      </c>
      <c r="K70" s="32">
        <f t="shared" si="12"/>
        <v>-2.2255490336169168E-2</v>
      </c>
      <c r="L70" s="32">
        <f t="shared" si="13"/>
        <v>-5.4226614978592984E-2</v>
      </c>
      <c r="M70" s="32">
        <f t="shared" ca="1" si="14"/>
        <v>-1.1503795708783765E-2</v>
      </c>
      <c r="N70" s="32">
        <f t="shared" ca="1" si="15"/>
        <v>2.2877466575228914E-5</v>
      </c>
      <c r="O70" s="122">
        <f t="shared" ca="1" si="16"/>
        <v>346383899.69301289</v>
      </c>
      <c r="P70" s="32">
        <f t="shared" ca="1" si="17"/>
        <v>84094430.692113549</v>
      </c>
      <c r="Q70" s="32">
        <f t="shared" ca="1" si="18"/>
        <v>113760.93532241524</v>
      </c>
      <c r="R70" s="16">
        <f t="shared" ca="1" si="19"/>
        <v>-6.7642392883795754E-3</v>
      </c>
    </row>
    <row r="71" spans="1:18">
      <c r="A71" s="71">
        <v>24376</v>
      </c>
      <c r="B71" s="71">
        <v>-1.6276720001769718E-2</v>
      </c>
      <c r="C71" s="71">
        <v>0.4</v>
      </c>
      <c r="D71" s="72">
        <f t="shared" si="5"/>
        <v>2.4376000000000002</v>
      </c>
      <c r="E71" s="72">
        <f t="shared" si="6"/>
        <v>-1.6276720001769718E-2</v>
      </c>
      <c r="F71" s="32">
        <f t="shared" si="7"/>
        <v>0.97504000000000013</v>
      </c>
      <c r="G71" s="32">
        <f t="shared" si="8"/>
        <v>-6.5106880007078875E-3</v>
      </c>
      <c r="H71" s="32">
        <f t="shared" si="9"/>
        <v>2.3767575040000004</v>
      </c>
      <c r="I71" s="32">
        <f t="shared" si="10"/>
        <v>5.7935840917504011</v>
      </c>
      <c r="J71" s="32">
        <f t="shared" si="11"/>
        <v>14.122440582050778</v>
      </c>
      <c r="K71" s="32">
        <f t="shared" si="12"/>
        <v>-1.5870453070525547E-2</v>
      </c>
      <c r="L71" s="32">
        <f t="shared" si="13"/>
        <v>-3.8685816404713073E-2</v>
      </c>
      <c r="M71" s="32">
        <f t="shared" ca="1" si="14"/>
        <v>-1.1546162771745513E-2</v>
      </c>
      <c r="N71" s="32">
        <f t="shared" ca="1" si="15"/>
        <v>8.9512686826137091E-6</v>
      </c>
      <c r="O71" s="122">
        <f t="shared" ca="1" si="16"/>
        <v>219329855.75412169</v>
      </c>
      <c r="P71" s="32">
        <f t="shared" ca="1" si="17"/>
        <v>53945188.187663071</v>
      </c>
      <c r="Q71" s="32">
        <f t="shared" ca="1" si="18"/>
        <v>67023.445243768554</v>
      </c>
      <c r="R71" s="16">
        <f t="shared" ca="1" si="19"/>
        <v>-4.7305572300242044E-3</v>
      </c>
    </row>
    <row r="72" spans="1:18">
      <c r="A72" s="71">
        <v>26170.5</v>
      </c>
      <c r="B72" s="71">
        <v>-2.0203885003866162E-2</v>
      </c>
      <c r="C72" s="71">
        <v>1</v>
      </c>
      <c r="D72" s="72">
        <f t="shared" si="5"/>
        <v>2.6170499999999999</v>
      </c>
      <c r="E72" s="72">
        <f t="shared" si="6"/>
        <v>-2.0203885003866162E-2</v>
      </c>
      <c r="F72" s="32">
        <f t="shared" si="7"/>
        <v>2.6170499999999999</v>
      </c>
      <c r="G72" s="32">
        <f t="shared" si="8"/>
        <v>-2.0203885003866162E-2</v>
      </c>
      <c r="H72" s="32">
        <f t="shared" si="9"/>
        <v>6.8489507024999989</v>
      </c>
      <c r="I72" s="32">
        <f t="shared" si="10"/>
        <v>17.924046435977623</v>
      </c>
      <c r="J72" s="32">
        <f t="shared" si="11"/>
        <v>46.908125725275234</v>
      </c>
      <c r="K72" s="32">
        <f t="shared" si="12"/>
        <v>-5.2874577249367935E-2</v>
      </c>
      <c r="L72" s="32">
        <f t="shared" si="13"/>
        <v>-0.13837541239045834</v>
      </c>
      <c r="M72" s="32">
        <f t="shared" ca="1" si="14"/>
        <v>-1.933203722602346E-2</v>
      </c>
      <c r="N72" s="32">
        <f t="shared" ca="1" si="15"/>
        <v>7.6011854772925733E-7</v>
      </c>
      <c r="O72" s="122">
        <f t="shared" ca="1" si="16"/>
        <v>5148541.7807582775</v>
      </c>
      <c r="P72" s="32">
        <f t="shared" ca="1" si="17"/>
        <v>476976016.22288412</v>
      </c>
      <c r="Q72" s="32">
        <f t="shared" ca="1" si="18"/>
        <v>17900948.732839674</v>
      </c>
      <c r="R72" s="16">
        <f t="shared" ca="1" si="19"/>
        <v>-8.7184777784270195E-4</v>
      </c>
    </row>
    <row r="73" spans="1:18">
      <c r="A73" s="71">
        <v>26363.5</v>
      </c>
      <c r="B73" s="71">
        <v>-2.6992095001332927E-2</v>
      </c>
      <c r="C73" s="71">
        <v>0.5</v>
      </c>
      <c r="D73" s="72">
        <f t="shared" si="5"/>
        <v>2.6363500000000002</v>
      </c>
      <c r="E73" s="72">
        <f t="shared" si="6"/>
        <v>-2.6992095001332927E-2</v>
      </c>
      <c r="F73" s="32">
        <f t="shared" si="7"/>
        <v>1.3181750000000001</v>
      </c>
      <c r="G73" s="32">
        <f t="shared" si="8"/>
        <v>-1.3496047500666464E-2</v>
      </c>
      <c r="H73" s="32">
        <f t="shared" si="9"/>
        <v>3.4751706612500004</v>
      </c>
      <c r="I73" s="32">
        <f t="shared" si="10"/>
        <v>9.1617661727864395</v>
      </c>
      <c r="J73" s="32">
        <f t="shared" si="11"/>
        <v>24.153622249625531</v>
      </c>
      <c r="K73" s="32">
        <f t="shared" si="12"/>
        <v>-3.5580304828382037E-2</v>
      </c>
      <c r="L73" s="32">
        <f t="shared" si="13"/>
        <v>-9.3802136634304992E-2</v>
      </c>
      <c r="M73" s="32">
        <f t="shared" ca="1" si="14"/>
        <v>-2.0233973096701108E-2</v>
      </c>
      <c r="N73" s="32">
        <f t="shared" ca="1" si="15"/>
        <v>2.2836105838932209E-5</v>
      </c>
      <c r="O73" s="122">
        <f t="shared" ca="1" si="16"/>
        <v>617141.23828858661</v>
      </c>
      <c r="P73" s="32">
        <f t="shared" ca="1" si="17"/>
        <v>123162782.12583758</v>
      </c>
      <c r="Q73" s="32">
        <f t="shared" ca="1" si="18"/>
        <v>5711648.783969678</v>
      </c>
      <c r="R73" s="16">
        <f t="shared" ca="1" si="19"/>
        <v>-6.7581219046318197E-3</v>
      </c>
    </row>
    <row r="74" spans="1:18">
      <c r="A74" s="71">
        <v>26553</v>
      </c>
      <c r="B74" s="71">
        <v>-2.8377410002576653E-2</v>
      </c>
      <c r="C74" s="71">
        <v>0.4</v>
      </c>
      <c r="D74" s="72">
        <f t="shared" si="5"/>
        <v>2.6553</v>
      </c>
      <c r="E74" s="72">
        <f t="shared" si="6"/>
        <v>-2.8377410002576653E-2</v>
      </c>
      <c r="F74" s="32">
        <f t="shared" si="7"/>
        <v>1.06212</v>
      </c>
      <c r="G74" s="32">
        <f t="shared" si="8"/>
        <v>-1.1350964001030662E-2</v>
      </c>
      <c r="H74" s="32">
        <f t="shared" si="9"/>
        <v>2.8202472359999997</v>
      </c>
      <c r="I74" s="32">
        <f t="shared" si="10"/>
        <v>7.4886024857507989</v>
      </c>
      <c r="J74" s="32">
        <f t="shared" si="11"/>
        <v>19.884486180414097</v>
      </c>
      <c r="K74" s="32">
        <f t="shared" si="12"/>
        <v>-3.0140214711936716E-2</v>
      </c>
      <c r="L74" s="32">
        <f t="shared" si="13"/>
        <v>-8.0031312124605569E-2</v>
      </c>
      <c r="M74" s="32">
        <f t="shared" ca="1" si="14"/>
        <v>-2.1131751761066242E-2</v>
      </c>
      <c r="N74" s="32">
        <f t="shared" ca="1" si="15"/>
        <v>2.0999825341107097E-5</v>
      </c>
      <c r="O74" s="122">
        <f t="shared" ca="1" si="16"/>
        <v>4598537.1121629942</v>
      </c>
      <c r="P74" s="32">
        <f t="shared" ca="1" si="17"/>
        <v>81301508.531853646</v>
      </c>
      <c r="Q74" s="32">
        <f t="shared" ca="1" si="18"/>
        <v>4533990.30773177</v>
      </c>
      <c r="R74" s="16">
        <f t="shared" ca="1" si="19"/>
        <v>-7.2456582415104109E-3</v>
      </c>
    </row>
    <row r="75" spans="1:18">
      <c r="A75" s="71">
        <v>27218</v>
      </c>
      <c r="B75" s="71">
        <v>-2.6927459999569692E-2</v>
      </c>
      <c r="C75" s="71">
        <v>1</v>
      </c>
      <c r="D75" s="72">
        <f t="shared" si="5"/>
        <v>2.7218</v>
      </c>
      <c r="E75" s="72">
        <f t="shared" si="6"/>
        <v>-2.6927459999569692E-2</v>
      </c>
      <c r="F75" s="32">
        <f t="shared" si="7"/>
        <v>2.7218</v>
      </c>
      <c r="G75" s="32">
        <f t="shared" si="8"/>
        <v>-2.6927459999569692E-2</v>
      </c>
      <c r="H75" s="32">
        <f t="shared" si="9"/>
        <v>7.4081952400000004</v>
      </c>
      <c r="I75" s="32">
        <f t="shared" si="10"/>
        <v>20.163625804232002</v>
      </c>
      <c r="J75" s="32">
        <f t="shared" si="11"/>
        <v>54.88135671395866</v>
      </c>
      <c r="K75" s="32">
        <f t="shared" si="12"/>
        <v>-7.3291160626828791E-2</v>
      </c>
      <c r="L75" s="32">
        <f t="shared" si="13"/>
        <v>-0.19948388099410261</v>
      </c>
      <c r="M75" s="32">
        <f t="shared" ca="1" si="14"/>
        <v>-2.4377904138856751E-2</v>
      </c>
      <c r="N75" s="32">
        <f t="shared" ca="1" si="15"/>
        <v>6.5002350868957022E-6</v>
      </c>
      <c r="O75" s="122">
        <f t="shared" ca="1" si="16"/>
        <v>353894467.09114587</v>
      </c>
      <c r="P75" s="32">
        <f t="shared" ca="1" si="17"/>
        <v>563091834.49989974</v>
      </c>
      <c r="Q75" s="32">
        <f t="shared" ca="1" si="18"/>
        <v>52799933.477292553</v>
      </c>
      <c r="R75" s="16">
        <f t="shared" ca="1" si="19"/>
        <v>-2.5495558607129404E-3</v>
      </c>
    </row>
    <row r="76" spans="1:18">
      <c r="A76" s="71">
        <v>27510.5</v>
      </c>
      <c r="B76" s="71">
        <v>-2.6883685000939295E-2</v>
      </c>
      <c r="C76" s="71">
        <v>0.5</v>
      </c>
      <c r="D76" s="72">
        <f t="shared" si="5"/>
        <v>2.7510500000000002</v>
      </c>
      <c r="E76" s="72">
        <f t="shared" si="6"/>
        <v>-2.6883685000939295E-2</v>
      </c>
      <c r="F76" s="32">
        <f t="shared" si="7"/>
        <v>1.3755250000000001</v>
      </c>
      <c r="G76" s="32">
        <f t="shared" si="8"/>
        <v>-1.3441842500469647E-2</v>
      </c>
      <c r="H76" s="32">
        <f t="shared" si="9"/>
        <v>3.7841380512500007</v>
      </c>
      <c r="I76" s="32">
        <f t="shared" si="10"/>
        <v>10.410352985891315</v>
      </c>
      <c r="J76" s="32">
        <f t="shared" si="11"/>
        <v>28.639401581836303</v>
      </c>
      <c r="K76" s="32">
        <f t="shared" si="12"/>
        <v>-3.6979180810917028E-2</v>
      </c>
      <c r="L76" s="32">
        <f t="shared" si="13"/>
        <v>-0.1017315753698733</v>
      </c>
      <c r="M76" s="32">
        <f t="shared" ca="1" si="14"/>
        <v>-2.5852859109192744E-2</v>
      </c>
      <c r="N76" s="32">
        <f t="shared" ca="1" si="15"/>
        <v>5.3130100954753571E-7</v>
      </c>
      <c r="O76" s="122">
        <f t="shared" ca="1" si="16"/>
        <v>153799139.07470524</v>
      </c>
      <c r="P76" s="32">
        <f t="shared" ca="1" si="17"/>
        <v>146879445.37556049</v>
      </c>
      <c r="Q76" s="32">
        <f t="shared" ca="1" si="18"/>
        <v>16559558.320827387</v>
      </c>
      <c r="R76" s="16">
        <f t="shared" ca="1" si="19"/>
        <v>-1.0308258917465507E-3</v>
      </c>
    </row>
    <row r="77" spans="1:18">
      <c r="A77" s="71">
        <v>27516</v>
      </c>
      <c r="B77" s="71">
        <v>-2.6302520003810059E-2</v>
      </c>
      <c r="C77" s="71">
        <v>1</v>
      </c>
      <c r="D77" s="72">
        <f t="shared" si="5"/>
        <v>2.7515999999999998</v>
      </c>
      <c r="E77" s="72">
        <f t="shared" si="6"/>
        <v>-2.6302520003810059E-2</v>
      </c>
      <c r="F77" s="32">
        <f t="shared" si="7"/>
        <v>2.7515999999999998</v>
      </c>
      <c r="G77" s="32">
        <f t="shared" si="8"/>
        <v>-2.6302520003810059E-2</v>
      </c>
      <c r="H77" s="32">
        <f t="shared" si="9"/>
        <v>7.5713025599999995</v>
      </c>
      <c r="I77" s="32">
        <f t="shared" si="10"/>
        <v>20.833196124095998</v>
      </c>
      <c r="J77" s="32">
        <f t="shared" si="11"/>
        <v>57.324622455062546</v>
      </c>
      <c r="K77" s="32">
        <f t="shared" si="12"/>
        <v>-7.2374014042483753E-2</v>
      </c>
      <c r="L77" s="32">
        <f t="shared" si="13"/>
        <v>-0.19914433703929829</v>
      </c>
      <c r="M77" s="32">
        <f t="shared" ca="1" si="14"/>
        <v>-2.5880869151822875E-2</v>
      </c>
      <c r="N77" s="32">
        <f t="shared" ca="1" si="15"/>
        <v>1.7778944098151879E-7</v>
      </c>
      <c r="O77" s="122">
        <f t="shared" ca="1" si="16"/>
        <v>620819297.05432165</v>
      </c>
      <c r="P77" s="32">
        <f t="shared" ca="1" si="17"/>
        <v>587978291.64955389</v>
      </c>
      <c r="Q77" s="32">
        <f t="shared" ca="1" si="18"/>
        <v>66507184.088362463</v>
      </c>
      <c r="R77" s="16">
        <f t="shared" ca="1" si="19"/>
        <v>-4.2165085198718477E-4</v>
      </c>
    </row>
    <row r="78" spans="1:18">
      <c r="A78" s="71">
        <v>27544</v>
      </c>
      <c r="B78" s="71">
        <v>-2.6025679995655082E-2</v>
      </c>
      <c r="C78" s="71">
        <v>0.5</v>
      </c>
      <c r="D78" s="72">
        <f t="shared" si="5"/>
        <v>2.7544</v>
      </c>
      <c r="E78" s="72">
        <f t="shared" si="6"/>
        <v>-2.6025679995655082E-2</v>
      </c>
      <c r="F78" s="32">
        <f t="shared" si="7"/>
        <v>1.3772</v>
      </c>
      <c r="G78" s="32">
        <f t="shared" si="8"/>
        <v>-1.3012839997827541E-2</v>
      </c>
      <c r="H78" s="32">
        <f t="shared" si="9"/>
        <v>3.79335968</v>
      </c>
      <c r="I78" s="32">
        <f t="shared" si="10"/>
        <v>10.448429902592</v>
      </c>
      <c r="J78" s="32">
        <f t="shared" si="11"/>
        <v>28.779155323699406</v>
      </c>
      <c r="K78" s="32">
        <f t="shared" si="12"/>
        <v>-3.584256649001618E-2</v>
      </c>
      <c r="L78" s="32">
        <f t="shared" si="13"/>
        <v>-9.8724765140100562E-2</v>
      </c>
      <c r="M78" s="32">
        <f t="shared" ca="1" si="14"/>
        <v>-2.6023623599549017E-2</v>
      </c>
      <c r="N78" s="32">
        <f t="shared" ca="1" si="15"/>
        <v>2.1143824725194315E-12</v>
      </c>
      <c r="O78" s="122">
        <f t="shared" ca="1" si="16"/>
        <v>162463369.06024462</v>
      </c>
      <c r="P78" s="32">
        <f t="shared" ca="1" si="17"/>
        <v>147580838.62528357</v>
      </c>
      <c r="Q78" s="32">
        <f t="shared" ca="1" si="18"/>
        <v>16971453.015261438</v>
      </c>
      <c r="R78" s="16">
        <f t="shared" ca="1" si="19"/>
        <v>-2.056396106064895E-6</v>
      </c>
    </row>
    <row r="79" spans="1:18">
      <c r="A79" s="71">
        <v>27574.5</v>
      </c>
      <c r="B79" s="71">
        <v>-2.719376500317594E-2</v>
      </c>
      <c r="C79" s="71">
        <v>1</v>
      </c>
      <c r="D79" s="72">
        <f t="shared" si="5"/>
        <v>2.75745</v>
      </c>
      <c r="E79" s="72">
        <f t="shared" si="6"/>
        <v>-2.719376500317594E-2</v>
      </c>
      <c r="F79" s="32">
        <f t="shared" si="7"/>
        <v>2.75745</v>
      </c>
      <c r="G79" s="32">
        <f t="shared" si="8"/>
        <v>-2.719376500317594E-2</v>
      </c>
      <c r="H79" s="32">
        <f t="shared" si="9"/>
        <v>7.6035305025</v>
      </c>
      <c r="I79" s="32">
        <f t="shared" si="10"/>
        <v>20.966355184118626</v>
      </c>
      <c r="J79" s="32">
        <f t="shared" si="11"/>
        <v>57.813676102447907</v>
      </c>
      <c r="K79" s="32">
        <f t="shared" si="12"/>
        <v>-7.4985447308007491E-2</v>
      </c>
      <c r="L79" s="32">
        <f t="shared" si="13"/>
        <v>-0.20676862167946525</v>
      </c>
      <c r="M79" s="32">
        <f t="shared" ca="1" si="14"/>
        <v>-2.6179424272547172E-2</v>
      </c>
      <c r="N79" s="32">
        <f t="shared" ca="1" si="15"/>
        <v>1.0288871178125034E-6</v>
      </c>
      <c r="O79" s="122">
        <f t="shared" ca="1" si="16"/>
        <v>682259842.29201746</v>
      </c>
      <c r="P79" s="32">
        <f t="shared" ca="1" si="17"/>
        <v>592879011.16117656</v>
      </c>
      <c r="Q79" s="32">
        <f t="shared" ca="1" si="18"/>
        <v>69405501.072113335</v>
      </c>
      <c r="R79" s="16">
        <f t="shared" ca="1" si="19"/>
        <v>-1.0143407306287683E-3</v>
      </c>
    </row>
    <row r="80" spans="1:18">
      <c r="A80" s="71">
        <v>27574.5</v>
      </c>
      <c r="B80" s="71">
        <v>-2.719376500317594E-2</v>
      </c>
      <c r="C80" s="71">
        <v>1</v>
      </c>
      <c r="D80" s="72">
        <f t="shared" si="5"/>
        <v>2.75745</v>
      </c>
      <c r="E80" s="72">
        <f t="shared" si="6"/>
        <v>-2.719376500317594E-2</v>
      </c>
      <c r="F80" s="32">
        <f t="shared" si="7"/>
        <v>2.75745</v>
      </c>
      <c r="G80" s="32">
        <f t="shared" si="8"/>
        <v>-2.719376500317594E-2</v>
      </c>
      <c r="H80" s="32">
        <f t="shared" si="9"/>
        <v>7.6035305025</v>
      </c>
      <c r="I80" s="32">
        <f t="shared" si="10"/>
        <v>20.966355184118626</v>
      </c>
      <c r="J80" s="32">
        <f t="shared" si="11"/>
        <v>57.813676102447907</v>
      </c>
      <c r="K80" s="32">
        <f t="shared" si="12"/>
        <v>-7.4985447308007491E-2</v>
      </c>
      <c r="L80" s="32">
        <f t="shared" si="13"/>
        <v>-0.20676862167946525</v>
      </c>
      <c r="M80" s="32">
        <f t="shared" ca="1" si="14"/>
        <v>-2.6179424272547172E-2</v>
      </c>
      <c r="N80" s="32">
        <f t="shared" ca="1" si="15"/>
        <v>1.0288871178125034E-6</v>
      </c>
      <c r="O80" s="122">
        <f t="shared" ca="1" si="16"/>
        <v>682259842.29201746</v>
      </c>
      <c r="P80" s="32">
        <f t="shared" ca="1" si="17"/>
        <v>592879011.16117656</v>
      </c>
      <c r="Q80" s="32">
        <f t="shared" ca="1" si="18"/>
        <v>69405501.072113335</v>
      </c>
      <c r="R80" s="16">
        <f t="shared" ca="1" si="19"/>
        <v>-1.0143407306287683E-3</v>
      </c>
    </row>
    <row r="81" spans="1:18">
      <c r="A81" s="71">
        <v>27574.5</v>
      </c>
      <c r="B81" s="71">
        <v>-2.629376500408398E-2</v>
      </c>
      <c r="C81" s="71">
        <v>1</v>
      </c>
      <c r="D81" s="72">
        <f t="shared" si="5"/>
        <v>2.75745</v>
      </c>
      <c r="E81" s="72">
        <f t="shared" si="6"/>
        <v>-2.629376500408398E-2</v>
      </c>
      <c r="F81" s="32">
        <f t="shared" si="7"/>
        <v>2.75745</v>
      </c>
      <c r="G81" s="32">
        <f t="shared" si="8"/>
        <v>-2.629376500408398E-2</v>
      </c>
      <c r="H81" s="32">
        <f t="shared" si="9"/>
        <v>7.6035305025</v>
      </c>
      <c r="I81" s="32">
        <f t="shared" si="10"/>
        <v>20.966355184118626</v>
      </c>
      <c r="J81" s="32">
        <f t="shared" si="11"/>
        <v>57.813676102447907</v>
      </c>
      <c r="K81" s="32">
        <f t="shared" si="12"/>
        <v>-7.2503742310511363E-2</v>
      </c>
      <c r="L81" s="32">
        <f t="shared" si="13"/>
        <v>-0.19992544423411956</v>
      </c>
      <c r="M81" s="32">
        <f t="shared" ca="1" si="14"/>
        <v>-2.6179424272547172E-2</v>
      </c>
      <c r="N81" s="32">
        <f t="shared" ca="1" si="15"/>
        <v>1.3073802888372352E-8</v>
      </c>
      <c r="O81" s="122">
        <f t="shared" ca="1" si="16"/>
        <v>682259842.29201746</v>
      </c>
      <c r="P81" s="32">
        <f t="shared" ca="1" si="17"/>
        <v>592879011.16117656</v>
      </c>
      <c r="Q81" s="32">
        <f t="shared" ca="1" si="18"/>
        <v>69405501.072113335</v>
      </c>
      <c r="R81" s="16">
        <f t="shared" ca="1" si="19"/>
        <v>-1.1434073153680779E-4</v>
      </c>
    </row>
    <row r="82" spans="1:18">
      <c r="A82" s="71">
        <v>28209</v>
      </c>
      <c r="B82" s="71">
        <v>-2.5475730006291997E-2</v>
      </c>
      <c r="C82" s="71">
        <v>1</v>
      </c>
      <c r="D82" s="72">
        <f t="shared" si="5"/>
        <v>2.8209</v>
      </c>
      <c r="E82" s="72">
        <f t="shared" si="6"/>
        <v>-2.5475730006291997E-2</v>
      </c>
      <c r="F82" s="32">
        <f t="shared" si="7"/>
        <v>2.8209</v>
      </c>
      <c r="G82" s="32">
        <f t="shared" si="8"/>
        <v>-2.5475730006291997E-2</v>
      </c>
      <c r="H82" s="32">
        <f t="shared" si="9"/>
        <v>7.9574768100000002</v>
      </c>
      <c r="I82" s="32">
        <f t="shared" si="10"/>
        <v>22.447246333329002</v>
      </c>
      <c r="J82" s="32">
        <f t="shared" si="11"/>
        <v>63.321437181687777</v>
      </c>
      <c r="K82" s="32">
        <f t="shared" si="12"/>
        <v>-7.186448677474909E-2</v>
      </c>
      <c r="L82" s="32">
        <f t="shared" si="13"/>
        <v>-0.20272253074288971</v>
      </c>
      <c r="M82" s="32">
        <f t="shared" ca="1" si="14"/>
        <v>-2.9491602763846492E-2</v>
      </c>
      <c r="N82" s="32">
        <f t="shared" ca="1" si="15"/>
        <v>1.6127234004868346E-5</v>
      </c>
      <c r="O82" s="122">
        <f t="shared" ca="1" si="16"/>
        <v>1544059782.091917</v>
      </c>
      <c r="P82" s="32">
        <f t="shared" ca="1" si="17"/>
        <v>646284837.20422697</v>
      </c>
      <c r="Q82" s="32">
        <f t="shared" ca="1" si="18"/>
        <v>105381100.48451573</v>
      </c>
      <c r="R82" s="16">
        <f t="shared" ca="1" si="19"/>
        <v>4.015872757554495E-3</v>
      </c>
    </row>
    <row r="83" spans="1:18">
      <c r="A83" s="71">
        <v>28423.5</v>
      </c>
      <c r="B83" s="71">
        <v>-2.6410294995002914E-2</v>
      </c>
      <c r="C83" s="71">
        <v>1</v>
      </c>
      <c r="D83" s="72">
        <f t="shared" si="5"/>
        <v>2.8423500000000002</v>
      </c>
      <c r="E83" s="72">
        <f t="shared" si="6"/>
        <v>-2.6410294995002914E-2</v>
      </c>
      <c r="F83" s="32">
        <f t="shared" si="7"/>
        <v>2.8423500000000002</v>
      </c>
      <c r="G83" s="32">
        <f t="shared" si="8"/>
        <v>-2.6410294995002914E-2</v>
      </c>
      <c r="H83" s="32">
        <f t="shared" si="9"/>
        <v>8.0789535225000009</v>
      </c>
      <c r="I83" s="32">
        <f t="shared" si="10"/>
        <v>22.963213544677878</v>
      </c>
      <c r="J83" s="32">
        <f t="shared" si="11"/>
        <v>65.269490018715175</v>
      </c>
      <c r="K83" s="32">
        <f t="shared" si="12"/>
        <v>-7.5067301979046541E-2</v>
      </c>
      <c r="L83" s="32">
        <f t="shared" si="13"/>
        <v>-0.21336754578014294</v>
      </c>
      <c r="M83" s="32">
        <f t="shared" ca="1" si="14"/>
        <v>-3.0641972199465198E-2</v>
      </c>
      <c r="N83" s="32">
        <f t="shared" ca="1" si="15"/>
        <v>1.7907091962765727E-5</v>
      </c>
      <c r="O83" s="122">
        <f t="shared" ca="1" si="16"/>
        <v>1918161872.5276327</v>
      </c>
      <c r="P83" s="32">
        <f t="shared" ca="1" si="17"/>
        <v>664417300.08457148</v>
      </c>
      <c r="Q83" s="32">
        <f t="shared" ca="1" si="18"/>
        <v>119487064.73519149</v>
      </c>
      <c r="R83" s="16">
        <f t="shared" ca="1" si="19"/>
        <v>4.2316772044622836E-3</v>
      </c>
    </row>
    <row r="84" spans="1:18">
      <c r="A84" s="71">
        <v>30325.5</v>
      </c>
      <c r="B84" s="71">
        <v>-3.7969235003401991E-2</v>
      </c>
      <c r="C84" s="71">
        <v>1</v>
      </c>
      <c r="D84" s="72">
        <f t="shared" si="5"/>
        <v>3.0325500000000001</v>
      </c>
      <c r="E84" s="72">
        <f t="shared" si="6"/>
        <v>-3.7969235003401991E-2</v>
      </c>
      <c r="F84" s="32">
        <f t="shared" si="7"/>
        <v>3.0325500000000001</v>
      </c>
      <c r="G84" s="32">
        <f t="shared" si="8"/>
        <v>-3.7969235003401991E-2</v>
      </c>
      <c r="H84" s="32">
        <f t="shared" si="9"/>
        <v>9.1963595025</v>
      </c>
      <c r="I84" s="32">
        <f t="shared" si="10"/>
        <v>27.888420009306376</v>
      </c>
      <c r="J84" s="32">
        <f t="shared" si="11"/>
        <v>84.573028099222057</v>
      </c>
      <c r="K84" s="32">
        <f t="shared" si="12"/>
        <v>-0.11514360360956671</v>
      </c>
      <c r="L84" s="32">
        <f t="shared" si="13"/>
        <v>-0.34917873512619152</v>
      </c>
      <c r="M84" s="32">
        <f t="shared" ca="1" si="14"/>
        <v>-4.1519963589597336E-2</v>
      </c>
      <c r="N84" s="32">
        <f t="shared" ca="1" si="15"/>
        <v>1.2607673492824796E-5</v>
      </c>
      <c r="O84" s="122">
        <f t="shared" ca="1" si="16"/>
        <v>7189711759.0648212</v>
      </c>
      <c r="P84" s="32">
        <f t="shared" ca="1" si="17"/>
        <v>825231331.36649144</v>
      </c>
      <c r="Q84" s="32">
        <f t="shared" ca="1" si="18"/>
        <v>291931572.65102535</v>
      </c>
      <c r="R84" s="16">
        <f t="shared" ca="1" si="19"/>
        <v>3.5507285861953453E-3</v>
      </c>
    </row>
    <row r="85" spans="1:18">
      <c r="A85" s="71">
        <v>31482.5</v>
      </c>
      <c r="B85" s="71">
        <v>-3.7740524996479508E-2</v>
      </c>
      <c r="C85" s="71">
        <v>1</v>
      </c>
      <c r="D85" s="72">
        <f t="shared" ref="D85:D104" si="20">A85/A$18</f>
        <v>3.14825</v>
      </c>
      <c r="E85" s="72">
        <f t="shared" ref="E85:E104" si="21">B85/B$18</f>
        <v>-3.7740524996479508E-2</v>
      </c>
      <c r="F85" s="32">
        <f t="shared" ref="F85:F104" si="22">$C85*D85</f>
        <v>3.14825</v>
      </c>
      <c r="G85" s="32">
        <f t="shared" ref="G85:G104" si="23">$C85*E85</f>
        <v>-3.7740524996479508E-2</v>
      </c>
      <c r="H85" s="32">
        <f t="shared" ref="H85:H104" si="24">C85*D85*D85</f>
        <v>9.9114780625000005</v>
      </c>
      <c r="I85" s="32">
        <f t="shared" ref="I85:I104" si="25">C85*D85*D85*D85</f>
        <v>31.203810810265626</v>
      </c>
      <c r="J85" s="32">
        <f t="shared" ref="J85:J104" si="26">C85*D85*D85*D85*D85</f>
        <v>98.237397383418752</v>
      </c>
      <c r="K85" s="32">
        <f t="shared" ref="K85:K104" si="27">C85*E85*D85</f>
        <v>-0.11881660782016661</v>
      </c>
      <c r="L85" s="32">
        <f t="shared" ref="L85:L104" si="28">C85*E85*D85*D85</f>
        <v>-0.37406438556983951</v>
      </c>
      <c r="M85" s="32">
        <f t="shared" ref="M85:M104" ca="1" si="29">+E$4+E$5*D85+E$6*D85^2</f>
        <v>-4.8732786629740316E-2</v>
      </c>
      <c r="N85" s="32">
        <f t="shared" ref="N85:N104" ca="1" si="30">C85*(M85-E85)^2</f>
        <v>1.2082981581405756E-4</v>
      </c>
      <c r="O85" s="122">
        <f t="shared" ref="O85:O104" ca="1" si="31">(C85*O$1-O$2*F85+O$3*H85)^2</f>
        <v>12248551870.328718</v>
      </c>
      <c r="P85" s="32">
        <f t="shared" ref="P85:P104" ca="1" si="32">(-C85*O$2+O$4*F85-O$5*H85)^2</f>
        <v>921412083.1365732</v>
      </c>
      <c r="Q85" s="32">
        <f t="shared" ref="Q85:Q104" ca="1" si="33">+(C85*O$3-F85*O$5+H85*O$6)^2</f>
        <v>443249557.54415303</v>
      </c>
      <c r="R85" s="16">
        <f t="shared" ref="R85:R104" ca="1" si="34">+E85-M85</f>
        <v>1.0992261633260808E-2</v>
      </c>
    </row>
    <row r="86" spans="1:18">
      <c r="A86" s="71">
        <v>31482.5</v>
      </c>
      <c r="B86" s="71">
        <v>-3.7680524997995235E-2</v>
      </c>
      <c r="C86" s="71">
        <v>1</v>
      </c>
      <c r="D86" s="72">
        <f t="shared" si="20"/>
        <v>3.14825</v>
      </c>
      <c r="E86" s="72">
        <f t="shared" si="21"/>
        <v>-3.7680524997995235E-2</v>
      </c>
      <c r="F86" s="32">
        <f t="shared" si="22"/>
        <v>3.14825</v>
      </c>
      <c r="G86" s="32">
        <f t="shared" si="23"/>
        <v>-3.7680524997995235E-2</v>
      </c>
      <c r="H86" s="32">
        <f t="shared" si="24"/>
        <v>9.9114780625000005</v>
      </c>
      <c r="I86" s="32">
        <f t="shared" si="25"/>
        <v>31.203810810265626</v>
      </c>
      <c r="J86" s="32">
        <f t="shared" si="26"/>
        <v>98.237397383418752</v>
      </c>
      <c r="K86" s="32">
        <f t="shared" si="27"/>
        <v>-0.1186277128249385</v>
      </c>
      <c r="L86" s="32">
        <f t="shared" si="28"/>
        <v>-0.37346969690111265</v>
      </c>
      <c r="M86" s="32">
        <f t="shared" ca="1" si="29"/>
        <v>-4.8732786629740316E-2</v>
      </c>
      <c r="N86" s="32">
        <f t="shared" ca="1" si="30"/>
        <v>1.2215248717654443E-4</v>
      </c>
      <c r="O86" s="122">
        <f t="shared" ca="1" si="31"/>
        <v>12248551870.328718</v>
      </c>
      <c r="P86" s="32">
        <f t="shared" ca="1" si="32"/>
        <v>921412083.1365732</v>
      </c>
      <c r="Q86" s="32">
        <f t="shared" ca="1" si="33"/>
        <v>443249557.54415303</v>
      </c>
      <c r="R86" s="16">
        <f t="shared" ca="1" si="34"/>
        <v>1.1052261631745081E-2</v>
      </c>
    </row>
    <row r="87" spans="1:18">
      <c r="A87" s="71">
        <v>31482.5</v>
      </c>
      <c r="B87" s="71">
        <v>-3.749052499915706E-2</v>
      </c>
      <c r="C87" s="71">
        <v>1</v>
      </c>
      <c r="D87" s="72">
        <f t="shared" si="20"/>
        <v>3.14825</v>
      </c>
      <c r="E87" s="72">
        <f t="shared" si="21"/>
        <v>-3.749052499915706E-2</v>
      </c>
      <c r="F87" s="32">
        <f t="shared" si="22"/>
        <v>3.14825</v>
      </c>
      <c r="G87" s="32">
        <f t="shared" si="23"/>
        <v>-3.749052499915706E-2</v>
      </c>
      <c r="H87" s="32">
        <f t="shared" si="24"/>
        <v>9.9114780625000005</v>
      </c>
      <c r="I87" s="32">
        <f t="shared" si="25"/>
        <v>31.203810810265626</v>
      </c>
      <c r="J87" s="32">
        <f t="shared" si="26"/>
        <v>98.237397383418752</v>
      </c>
      <c r="K87" s="32">
        <f t="shared" si="27"/>
        <v>-0.11802954532859622</v>
      </c>
      <c r="L87" s="32">
        <f t="shared" si="28"/>
        <v>-0.37158651608075305</v>
      </c>
      <c r="M87" s="32">
        <f t="shared" ca="1" si="29"/>
        <v>-4.8732786629740316E-2</v>
      </c>
      <c r="N87" s="32">
        <f t="shared" ca="1" si="30"/>
        <v>1.2638844657048449E-4</v>
      </c>
      <c r="O87" s="122">
        <f t="shared" ca="1" si="31"/>
        <v>12248551870.328718</v>
      </c>
      <c r="P87" s="32">
        <f t="shared" ca="1" si="32"/>
        <v>921412083.1365732</v>
      </c>
      <c r="Q87" s="32">
        <f t="shared" ca="1" si="33"/>
        <v>443249557.54415303</v>
      </c>
      <c r="R87" s="16">
        <f t="shared" ca="1" si="34"/>
        <v>1.1242261630583256E-2</v>
      </c>
    </row>
    <row r="88" spans="1:18">
      <c r="A88" s="71">
        <v>31482.5</v>
      </c>
      <c r="B88" s="71">
        <v>-3.690052499587182E-2</v>
      </c>
      <c r="C88" s="71">
        <v>1</v>
      </c>
      <c r="D88" s="72">
        <f t="shared" si="20"/>
        <v>3.14825</v>
      </c>
      <c r="E88" s="72">
        <f t="shared" si="21"/>
        <v>-3.690052499587182E-2</v>
      </c>
      <c r="F88" s="32">
        <f t="shared" si="22"/>
        <v>3.14825</v>
      </c>
      <c r="G88" s="32">
        <f t="shared" si="23"/>
        <v>-3.690052499587182E-2</v>
      </c>
      <c r="H88" s="32">
        <f t="shared" si="24"/>
        <v>9.9114780625000005</v>
      </c>
      <c r="I88" s="32">
        <f t="shared" si="25"/>
        <v>31.203810810265626</v>
      </c>
      <c r="J88" s="32">
        <f t="shared" si="26"/>
        <v>98.237397383418752</v>
      </c>
      <c r="K88" s="32">
        <f t="shared" si="27"/>
        <v>-0.11617207781825345</v>
      </c>
      <c r="L88" s="32">
        <f t="shared" si="28"/>
        <v>-0.3657387439913164</v>
      </c>
      <c r="M88" s="32">
        <f t="shared" ca="1" si="29"/>
        <v>-4.8732786629740316E-2</v>
      </c>
      <c r="N88" s="32">
        <f t="shared" ca="1" si="30"/>
        <v>1.4000241537231637E-4</v>
      </c>
      <c r="O88" s="122">
        <f t="shared" ca="1" si="31"/>
        <v>12248551870.328718</v>
      </c>
      <c r="P88" s="32">
        <f t="shared" ca="1" si="32"/>
        <v>921412083.1365732</v>
      </c>
      <c r="Q88" s="32">
        <f t="shared" ca="1" si="33"/>
        <v>443249557.54415303</v>
      </c>
      <c r="R88" s="16">
        <f t="shared" ca="1" si="34"/>
        <v>1.1832261633868496E-2</v>
      </c>
    </row>
    <row r="89" spans="1:18">
      <c r="A89" s="71">
        <v>31341.5</v>
      </c>
      <c r="B89" s="71">
        <v>-3.6466755002038553E-2</v>
      </c>
      <c r="C89" s="71">
        <v>1</v>
      </c>
      <c r="D89" s="72">
        <f t="shared" si="20"/>
        <v>3.13415</v>
      </c>
      <c r="E89" s="72">
        <f t="shared" si="21"/>
        <v>-3.6466755002038553E-2</v>
      </c>
      <c r="F89" s="32">
        <f t="shared" si="22"/>
        <v>3.13415</v>
      </c>
      <c r="G89" s="32">
        <f t="shared" si="23"/>
        <v>-3.6466755002038553E-2</v>
      </c>
      <c r="H89" s="32">
        <f t="shared" si="24"/>
        <v>9.8228962225000007</v>
      </c>
      <c r="I89" s="32">
        <f t="shared" si="25"/>
        <v>30.786430195748377</v>
      </c>
      <c r="J89" s="32">
        <f t="shared" si="26"/>
        <v>96.489290198004781</v>
      </c>
      <c r="K89" s="32">
        <f t="shared" si="27"/>
        <v>-0.11429228018963913</v>
      </c>
      <c r="L89" s="32">
        <f t="shared" si="28"/>
        <v>-0.3582091499563575</v>
      </c>
      <c r="M89" s="32">
        <f t="shared" ca="1" si="29"/>
        <v>-4.7829672027299541E-2</v>
      </c>
      <c r="N89" s="32">
        <f t="shared" ca="1" si="30"/>
        <v>1.2911588332296603E-4</v>
      </c>
      <c r="O89" s="122">
        <f t="shared" ca="1" si="31"/>
        <v>11552156446.204147</v>
      </c>
      <c r="P89" s="32">
        <f t="shared" ca="1" si="32"/>
        <v>909814732.24134743</v>
      </c>
      <c r="Q89" s="32">
        <f t="shared" ca="1" si="33"/>
        <v>422752519.69109005</v>
      </c>
      <c r="R89" s="16">
        <f t="shared" ca="1" si="34"/>
        <v>1.1362917025260988E-2</v>
      </c>
    </row>
    <row r="90" spans="1:18">
      <c r="A90" s="71">
        <v>31556</v>
      </c>
      <c r="B90" s="71">
        <v>-3.9501320003182627E-2</v>
      </c>
      <c r="C90" s="71">
        <v>1</v>
      </c>
      <c r="D90" s="72">
        <f t="shared" si="20"/>
        <v>3.1556000000000002</v>
      </c>
      <c r="E90" s="72">
        <f t="shared" si="21"/>
        <v>-3.9501320003182627E-2</v>
      </c>
      <c r="F90" s="32">
        <f t="shared" si="22"/>
        <v>3.1556000000000002</v>
      </c>
      <c r="G90" s="32">
        <f t="shared" si="23"/>
        <v>-3.9501320003182627E-2</v>
      </c>
      <c r="H90" s="32">
        <f t="shared" si="24"/>
        <v>9.9578113600000009</v>
      </c>
      <c r="I90" s="32">
        <f t="shared" si="25"/>
        <v>31.422869527616005</v>
      </c>
      <c r="J90" s="32">
        <f t="shared" si="26"/>
        <v>99.158007081345076</v>
      </c>
      <c r="K90" s="32">
        <f t="shared" si="27"/>
        <v>-0.12465036540204311</v>
      </c>
      <c r="L90" s="32">
        <f t="shared" si="28"/>
        <v>-0.39334669306268727</v>
      </c>
      <c r="M90" s="32">
        <f t="shared" ca="1" si="29"/>
        <v>-4.920621253895327E-2</v>
      </c>
      <c r="N90" s="32">
        <f t="shared" ca="1" si="30"/>
        <v>9.4184939130856731E-5</v>
      </c>
      <c r="O90" s="122">
        <f t="shared" ca="1" si="31"/>
        <v>12620591477.809359</v>
      </c>
      <c r="P90" s="32">
        <f t="shared" ca="1" si="32"/>
        <v>927441347.79657292</v>
      </c>
      <c r="Q90" s="32">
        <f t="shared" ca="1" si="33"/>
        <v>454168975.76063043</v>
      </c>
      <c r="R90" s="16">
        <f t="shared" ca="1" si="34"/>
        <v>9.7048925357706428E-3</v>
      </c>
    </row>
    <row r="91" spans="1:18">
      <c r="A91" s="71">
        <v>22253.5</v>
      </c>
      <c r="B91" s="71">
        <v>-8.1353950008633547E-3</v>
      </c>
      <c r="C91" s="71">
        <v>1</v>
      </c>
      <c r="D91" s="72">
        <f t="shared" si="20"/>
        <v>2.2253500000000002</v>
      </c>
      <c r="E91" s="72">
        <f t="shared" si="21"/>
        <v>-8.1353950008633547E-3</v>
      </c>
      <c r="F91" s="32">
        <f t="shared" si="22"/>
        <v>2.2253500000000002</v>
      </c>
      <c r="G91" s="32">
        <f t="shared" si="23"/>
        <v>-8.1353950008633547E-3</v>
      </c>
      <c r="H91" s="32">
        <f t="shared" si="24"/>
        <v>4.9521826225000005</v>
      </c>
      <c r="I91" s="32">
        <f t="shared" si="25"/>
        <v>11.020339598980376</v>
      </c>
      <c r="J91" s="32">
        <f t="shared" si="26"/>
        <v>24.524112726590982</v>
      </c>
      <c r="K91" s="32">
        <f t="shared" si="27"/>
        <v>-1.8104101265171268E-2</v>
      </c>
      <c r="L91" s="32">
        <f t="shared" si="28"/>
        <v>-4.0287961750448881E-2</v>
      </c>
      <c r="M91" s="32">
        <f t="shared" ca="1" si="29"/>
        <v>-3.7364133419467288E-3</v>
      </c>
      <c r="N91" s="32">
        <f t="shared" ca="1" si="30"/>
        <v>1.9351039635484871E-5</v>
      </c>
      <c r="O91" s="122">
        <f t="shared" ca="1" si="31"/>
        <v>5763360959.9862146</v>
      </c>
      <c r="P91" s="32">
        <f t="shared" ca="1" si="32"/>
        <v>191992696.96756592</v>
      </c>
      <c r="Q91" s="32">
        <f t="shared" ca="1" si="33"/>
        <v>34719733.624979585</v>
      </c>
      <c r="R91" s="16">
        <f t="shared" ca="1" si="34"/>
        <v>-4.3989816589166258E-3</v>
      </c>
    </row>
    <row r="92" spans="1:18">
      <c r="A92" s="71">
        <v>22259</v>
      </c>
      <c r="B92" s="71">
        <v>-9.1542299996945076E-3</v>
      </c>
      <c r="C92" s="71">
        <v>1</v>
      </c>
      <c r="D92" s="72">
        <f t="shared" si="20"/>
        <v>2.2259000000000002</v>
      </c>
      <c r="E92" s="72">
        <f t="shared" si="21"/>
        <v>-9.1542299996945076E-3</v>
      </c>
      <c r="F92" s="32">
        <f t="shared" si="22"/>
        <v>2.2259000000000002</v>
      </c>
      <c r="G92" s="32">
        <f t="shared" si="23"/>
        <v>-9.1542299996945076E-3</v>
      </c>
      <c r="H92" s="32">
        <f t="shared" si="24"/>
        <v>4.9546308100000012</v>
      </c>
      <c r="I92" s="32">
        <f t="shared" si="25"/>
        <v>11.028512719979004</v>
      </c>
      <c r="J92" s="32">
        <f t="shared" si="26"/>
        <v>24.548366463401265</v>
      </c>
      <c r="K92" s="32">
        <f t="shared" si="27"/>
        <v>-2.0376400556320007E-2</v>
      </c>
      <c r="L92" s="32">
        <f t="shared" si="28"/>
        <v>-4.5355829998312711E-2</v>
      </c>
      <c r="M92" s="32">
        <f t="shared" ca="1" si="29"/>
        <v>-3.754690997921542E-3</v>
      </c>
      <c r="N92" s="32">
        <f t="shared" ca="1" si="30"/>
        <v>2.9155021431667392E-5</v>
      </c>
      <c r="O92" s="122">
        <f t="shared" ca="1" si="31"/>
        <v>5748539705.8795834</v>
      </c>
      <c r="P92" s="32">
        <f t="shared" ca="1" si="32"/>
        <v>192331619.49238148</v>
      </c>
      <c r="Q92" s="32">
        <f t="shared" ca="1" si="33"/>
        <v>34568385.731378414</v>
      </c>
      <c r="R92" s="16">
        <f t="shared" ca="1" si="34"/>
        <v>-5.3995390017729655E-3</v>
      </c>
    </row>
    <row r="93" spans="1:18">
      <c r="A93" s="71">
        <v>25316</v>
      </c>
      <c r="B93" s="71">
        <v>-1.2368520001473371E-2</v>
      </c>
      <c r="C93" s="71">
        <v>1</v>
      </c>
      <c r="D93" s="72">
        <f t="shared" si="20"/>
        <v>2.5316000000000001</v>
      </c>
      <c r="E93" s="72">
        <f t="shared" si="21"/>
        <v>-1.2368520001473371E-2</v>
      </c>
      <c r="F93" s="32">
        <f t="shared" si="22"/>
        <v>2.5316000000000001</v>
      </c>
      <c r="G93" s="32">
        <f t="shared" si="23"/>
        <v>-1.2368520001473371E-2</v>
      </c>
      <c r="H93" s="32">
        <f t="shared" si="24"/>
        <v>6.4089985600000006</v>
      </c>
      <c r="I93" s="32">
        <f t="shared" si="25"/>
        <v>16.225020754496001</v>
      </c>
      <c r="J93" s="32">
        <f t="shared" si="26"/>
        <v>41.075262542082079</v>
      </c>
      <c r="K93" s="32">
        <f t="shared" si="27"/>
        <v>-3.1312145235729984E-2</v>
      </c>
      <c r="L93" s="32">
        <f t="shared" si="28"/>
        <v>-7.9269826878774027E-2</v>
      </c>
      <c r="M93" s="32">
        <f t="shared" ca="1" si="29"/>
        <v>-1.5489396231971528E-2</v>
      </c>
      <c r="N93" s="32">
        <f t="shared" ca="1" si="30"/>
        <v>9.7398684460883843E-6</v>
      </c>
      <c r="O93" s="122">
        <f t="shared" ca="1" si="31"/>
        <v>362249547.87224019</v>
      </c>
      <c r="P93" s="32">
        <f t="shared" ca="1" si="32"/>
        <v>408910977.28093791</v>
      </c>
      <c r="Q93" s="32">
        <f t="shared" ca="1" si="33"/>
        <v>3449876.7653424027</v>
      </c>
      <c r="R93" s="16">
        <f t="shared" ca="1" si="34"/>
        <v>3.1208762304981569E-3</v>
      </c>
    </row>
    <row r="94" spans="1:18">
      <c r="A94" s="71">
        <v>25321</v>
      </c>
      <c r="B94" s="71">
        <v>-1.3958370000182185E-2</v>
      </c>
      <c r="C94" s="71">
        <v>1</v>
      </c>
      <c r="D94" s="72">
        <f t="shared" si="20"/>
        <v>2.5320999999999998</v>
      </c>
      <c r="E94" s="72">
        <f t="shared" si="21"/>
        <v>-1.3958370000182185E-2</v>
      </c>
      <c r="F94" s="32">
        <f t="shared" si="22"/>
        <v>2.5320999999999998</v>
      </c>
      <c r="G94" s="32">
        <f t="shared" si="23"/>
        <v>-1.3958370000182185E-2</v>
      </c>
      <c r="H94" s="32">
        <f t="shared" si="24"/>
        <v>6.4115304099999992</v>
      </c>
      <c r="I94" s="32">
        <f t="shared" si="25"/>
        <v>16.234636151160998</v>
      </c>
      <c r="J94" s="32">
        <f t="shared" si="26"/>
        <v>41.107722198354757</v>
      </c>
      <c r="K94" s="32">
        <f t="shared" si="27"/>
        <v>-3.5343988677461309E-2</v>
      </c>
      <c r="L94" s="32">
        <f t="shared" si="28"/>
        <v>-8.9494513730199773E-2</v>
      </c>
      <c r="M94" s="32">
        <f t="shared" ca="1" si="29"/>
        <v>-1.5511166103916271E-2</v>
      </c>
      <c r="N94" s="32">
        <f t="shared" ca="1" si="30"/>
        <v>2.4111757397717581E-6</v>
      </c>
      <c r="O94" s="122">
        <f t="shared" ca="1" si="31"/>
        <v>358568122.137622</v>
      </c>
      <c r="P94" s="32">
        <f t="shared" ca="1" si="32"/>
        <v>409302123.0296424</v>
      </c>
      <c r="Q94" s="32">
        <f t="shared" ca="1" si="33"/>
        <v>3500659.5543199792</v>
      </c>
      <c r="R94" s="16">
        <f t="shared" ca="1" si="34"/>
        <v>1.5527961037340859E-3</v>
      </c>
    </row>
    <row r="95" spans="1:18">
      <c r="A95" s="71">
        <v>18192</v>
      </c>
      <c r="B95" s="71">
        <v>-9.902399979182519E-4</v>
      </c>
      <c r="C95" s="71">
        <v>1</v>
      </c>
      <c r="D95" s="72">
        <f t="shared" si="20"/>
        <v>1.8191999999999999</v>
      </c>
      <c r="E95" s="72">
        <f t="shared" si="21"/>
        <v>-9.902399979182519E-4</v>
      </c>
      <c r="F95" s="32">
        <f t="shared" si="22"/>
        <v>1.8191999999999999</v>
      </c>
      <c r="G95" s="32">
        <f t="shared" si="23"/>
        <v>-9.902399979182519E-4</v>
      </c>
      <c r="H95" s="32">
        <f t="shared" si="24"/>
        <v>3.3094886399999996</v>
      </c>
      <c r="I95" s="32">
        <f t="shared" si="25"/>
        <v>6.0206217338879995</v>
      </c>
      <c r="J95" s="32">
        <f t="shared" si="26"/>
        <v>10.952715058289048</v>
      </c>
      <c r="K95" s="32">
        <f t="shared" si="27"/>
        <v>-1.8014446042128839E-3</v>
      </c>
      <c r="L95" s="32">
        <f t="shared" si="28"/>
        <v>-3.2771880239840781E-3</v>
      </c>
      <c r="M95" s="32">
        <f t="shared" ca="1" si="29"/>
        <v>6.9807758181124266E-3</v>
      </c>
      <c r="N95" s="32">
        <f t="shared" ca="1" si="30"/>
        <v>6.3537093139411221E-5</v>
      </c>
      <c r="O95" s="122">
        <f t="shared" ca="1" si="31"/>
        <v>20633963601.820766</v>
      </c>
      <c r="P95" s="32">
        <f t="shared" ca="1" si="32"/>
        <v>16401006.289600357</v>
      </c>
      <c r="Q95" s="32">
        <f t="shared" ca="1" si="33"/>
        <v>205751329.35103077</v>
      </c>
      <c r="R95" s="16">
        <f t="shared" ca="1" si="34"/>
        <v>-7.9710158160306785E-3</v>
      </c>
    </row>
    <row r="96" spans="1:18">
      <c r="A96" s="71">
        <v>18206</v>
      </c>
      <c r="B96" s="71">
        <v>3.3981800006586127E-3</v>
      </c>
      <c r="C96" s="71">
        <v>1</v>
      </c>
      <c r="D96" s="72">
        <f t="shared" si="20"/>
        <v>1.8206</v>
      </c>
      <c r="E96" s="72">
        <f t="shared" si="21"/>
        <v>3.3981800006586127E-3</v>
      </c>
      <c r="F96" s="32">
        <f t="shared" si="22"/>
        <v>1.8206</v>
      </c>
      <c r="G96" s="32">
        <f t="shared" si="23"/>
        <v>3.3981800006586127E-3</v>
      </c>
      <c r="H96" s="32">
        <f t="shared" si="24"/>
        <v>3.31458436</v>
      </c>
      <c r="I96" s="32">
        <f t="shared" si="25"/>
        <v>6.0345322858159998</v>
      </c>
      <c r="J96" s="32">
        <f t="shared" si="26"/>
        <v>10.986469479556609</v>
      </c>
      <c r="K96" s="32">
        <f t="shared" si="27"/>
        <v>6.1867265091990701E-3</v>
      </c>
      <c r="L96" s="32">
        <f t="shared" si="28"/>
        <v>1.1263554282647827E-2</v>
      </c>
      <c r="M96" s="32">
        <f t="shared" ca="1" si="29"/>
        <v>6.9533704620043449E-3</v>
      </c>
      <c r="N96" s="32">
        <f t="shared" ca="1" si="30"/>
        <v>1.263937921644368E-5</v>
      </c>
      <c r="O96" s="122">
        <f t="shared" ca="1" si="31"/>
        <v>20571278994.061775</v>
      </c>
      <c r="P96" s="32">
        <f t="shared" ca="1" si="32"/>
        <v>16697768.255652165</v>
      </c>
      <c r="Q96" s="32">
        <f t="shared" ca="1" si="33"/>
        <v>205018805.4719567</v>
      </c>
      <c r="R96" s="16">
        <f t="shared" ca="1" si="34"/>
        <v>-3.5551904613457322E-3</v>
      </c>
    </row>
    <row r="97" spans="1:18">
      <c r="A97" s="71">
        <v>18220</v>
      </c>
      <c r="B97" s="71">
        <v>8.7865999958012253E-3</v>
      </c>
      <c r="C97" s="71">
        <v>1</v>
      </c>
      <c r="D97" s="72">
        <f t="shared" si="20"/>
        <v>1.8220000000000001</v>
      </c>
      <c r="E97" s="72">
        <f t="shared" si="21"/>
        <v>8.7865999958012253E-3</v>
      </c>
      <c r="F97" s="32">
        <f t="shared" si="22"/>
        <v>1.8220000000000001</v>
      </c>
      <c r="G97" s="32">
        <f t="shared" si="23"/>
        <v>8.7865999958012253E-3</v>
      </c>
      <c r="H97" s="32">
        <f t="shared" si="24"/>
        <v>3.3196840000000001</v>
      </c>
      <c r="I97" s="32">
        <f t="shared" si="25"/>
        <v>6.0484642480000002</v>
      </c>
      <c r="J97" s="32">
        <f t="shared" si="26"/>
        <v>11.020301859856001</v>
      </c>
      <c r="K97" s="32">
        <f t="shared" si="27"/>
        <v>1.6009185192349833E-2</v>
      </c>
      <c r="L97" s="32">
        <f t="shared" si="28"/>
        <v>2.9168735420461396E-2</v>
      </c>
      <c r="M97" s="32">
        <f t="shared" ca="1" si="29"/>
        <v>6.9258991316010696E-3</v>
      </c>
      <c r="N97" s="32">
        <f t="shared" ca="1" si="30"/>
        <v>3.4622077060352064E-6</v>
      </c>
      <c r="O97" s="122">
        <f t="shared" ca="1" si="31"/>
        <v>20508659824.41481</v>
      </c>
      <c r="P97" s="32">
        <f t="shared" ca="1" si="32"/>
        <v>16997038.59924572</v>
      </c>
      <c r="Q97" s="32">
        <f t="shared" ca="1" si="33"/>
        <v>204286880.71085978</v>
      </c>
      <c r="R97" s="16">
        <f t="shared" ca="1" si="34"/>
        <v>1.8607008642001557E-3</v>
      </c>
    </row>
    <row r="98" spans="1:18">
      <c r="A98" s="71">
        <v>18262</v>
      </c>
      <c r="B98" s="71">
        <v>-1.0481400022399612E-3</v>
      </c>
      <c r="C98" s="71">
        <v>1</v>
      </c>
      <c r="D98" s="72">
        <f t="shared" si="20"/>
        <v>1.8262</v>
      </c>
      <c r="E98" s="72">
        <f t="shared" si="21"/>
        <v>-1.0481400022399612E-3</v>
      </c>
      <c r="F98" s="32">
        <f t="shared" si="22"/>
        <v>1.8262</v>
      </c>
      <c r="G98" s="32">
        <f t="shared" si="23"/>
        <v>-1.0481400022399612E-3</v>
      </c>
      <c r="H98" s="32">
        <f t="shared" si="24"/>
        <v>3.3350064400000003</v>
      </c>
      <c r="I98" s="32">
        <f t="shared" si="25"/>
        <v>6.0903887607280005</v>
      </c>
      <c r="J98" s="32">
        <f t="shared" si="26"/>
        <v>11.122267954841474</v>
      </c>
      <c r="K98" s="32">
        <f t="shared" si="27"/>
        <v>-1.9141132720906172E-3</v>
      </c>
      <c r="L98" s="32">
        <f t="shared" si="28"/>
        <v>-3.4955536574918854E-3</v>
      </c>
      <c r="M98" s="32">
        <f t="shared" ca="1" si="29"/>
        <v>6.843089294619964E-3</v>
      </c>
      <c r="N98" s="32">
        <f t="shared" ca="1" si="30"/>
        <v>6.2271499815620384E-5</v>
      </c>
      <c r="O98" s="122">
        <f t="shared" ca="1" si="31"/>
        <v>20321196313.871304</v>
      </c>
      <c r="P98" s="32">
        <f t="shared" ca="1" si="32"/>
        <v>17909859.469117649</v>
      </c>
      <c r="Q98" s="32">
        <f t="shared" ca="1" si="33"/>
        <v>202094739.12579831</v>
      </c>
      <c r="R98" s="16">
        <f t="shared" ca="1" si="34"/>
        <v>-7.8912292968599251E-3</v>
      </c>
    </row>
    <row r="99" spans="1:18">
      <c r="A99" s="71">
        <v>27306</v>
      </c>
      <c r="B99" s="71">
        <v>-2.702881999721285E-2</v>
      </c>
      <c r="C99" s="71">
        <v>1</v>
      </c>
      <c r="D99" s="72">
        <f t="shared" si="20"/>
        <v>2.7305999999999999</v>
      </c>
      <c r="E99" s="72">
        <f t="shared" si="21"/>
        <v>-2.702881999721285E-2</v>
      </c>
      <c r="F99" s="32">
        <f t="shared" si="22"/>
        <v>2.7305999999999999</v>
      </c>
      <c r="G99" s="32">
        <f t="shared" si="23"/>
        <v>-2.702881999721285E-2</v>
      </c>
      <c r="H99" s="32">
        <f t="shared" si="24"/>
        <v>7.4561763599999997</v>
      </c>
      <c r="I99" s="32">
        <f t="shared" si="25"/>
        <v>20.359835168615998</v>
      </c>
      <c r="J99" s="32">
        <f t="shared" si="26"/>
        <v>55.594565911422841</v>
      </c>
      <c r="K99" s="32">
        <f t="shared" si="27"/>
        <v>-7.3804895884389404E-2</v>
      </c>
      <c r="L99" s="32">
        <f t="shared" si="28"/>
        <v>-0.2015316487019137</v>
      </c>
      <c r="M99" s="32">
        <f t="shared" ca="1" si="29"/>
        <v>-2.4818622516515704E-2</v>
      </c>
      <c r="N99" s="32">
        <f t="shared" ca="1" si="30"/>
        <v>4.8849729036800102E-6</v>
      </c>
      <c r="O99" s="122">
        <f t="shared" ca="1" si="31"/>
        <v>424760946.14882922</v>
      </c>
      <c r="P99" s="32">
        <f t="shared" ca="1" si="32"/>
        <v>570426493.08064461</v>
      </c>
      <c r="Q99" s="32">
        <f t="shared" ca="1" si="33"/>
        <v>56665747.53716749</v>
      </c>
      <c r="R99" s="16">
        <f t="shared" ca="1" si="34"/>
        <v>-2.2101974806971458E-3</v>
      </c>
    </row>
    <row r="100" spans="1:18">
      <c r="A100" s="71">
        <v>28280.5</v>
      </c>
      <c r="B100" s="71">
        <v>-2.64205849962309E-2</v>
      </c>
      <c r="C100" s="71">
        <v>1</v>
      </c>
      <c r="D100" s="72">
        <f t="shared" si="20"/>
        <v>2.8280500000000002</v>
      </c>
      <c r="E100" s="72">
        <f t="shared" si="21"/>
        <v>-2.64205849962309E-2</v>
      </c>
      <c r="F100" s="32">
        <f t="shared" si="22"/>
        <v>2.8280500000000002</v>
      </c>
      <c r="G100" s="32">
        <f t="shared" si="23"/>
        <v>-2.64205849962309E-2</v>
      </c>
      <c r="H100" s="32">
        <f t="shared" si="24"/>
        <v>7.9978668025000008</v>
      </c>
      <c r="I100" s="32">
        <f t="shared" si="25"/>
        <v>22.618367210810128</v>
      </c>
      <c r="J100" s="32">
        <f t="shared" si="26"/>
        <v>63.965873390531584</v>
      </c>
      <c r="K100" s="32">
        <f t="shared" si="27"/>
        <v>-7.4718735398590808E-2</v>
      </c>
      <c r="L100" s="32">
        <f t="shared" si="28"/>
        <v>-0.21130831964398475</v>
      </c>
      <c r="M100" s="32">
        <f t="shared" ca="1" si="29"/>
        <v>-2.9873338440903077E-2</v>
      </c>
      <c r="N100" s="32">
        <f t="shared" ca="1" si="30"/>
        <v>1.1921506349695583E-5</v>
      </c>
      <c r="O100" s="122">
        <f t="shared" ca="1" si="31"/>
        <v>1664033558.1112528</v>
      </c>
      <c r="P100" s="32">
        <f t="shared" ca="1" si="32"/>
        <v>652325748.21135759</v>
      </c>
      <c r="Q100" s="32">
        <f t="shared" ca="1" si="33"/>
        <v>109971139.28486502</v>
      </c>
      <c r="R100" s="16">
        <f t="shared" ca="1" si="34"/>
        <v>3.4527534446721769E-3</v>
      </c>
    </row>
    <row r="101" spans="1:18">
      <c r="A101" s="71">
        <v>28366.5</v>
      </c>
      <c r="B101" s="71">
        <v>-2.6906005005002953E-2</v>
      </c>
      <c r="C101" s="71">
        <v>1</v>
      </c>
      <c r="D101" s="72">
        <f t="shared" si="20"/>
        <v>2.8366500000000001</v>
      </c>
      <c r="E101" s="72">
        <f t="shared" si="21"/>
        <v>-2.6906005005002953E-2</v>
      </c>
      <c r="F101" s="32">
        <f t="shared" si="22"/>
        <v>2.8366500000000001</v>
      </c>
      <c r="G101" s="32">
        <f t="shared" si="23"/>
        <v>-2.6906005005002953E-2</v>
      </c>
      <c r="H101" s="32">
        <f t="shared" si="24"/>
        <v>8.0465832225000007</v>
      </c>
      <c r="I101" s="32">
        <f t="shared" si="25"/>
        <v>22.825340298104628</v>
      </c>
      <c r="J101" s="32">
        <f t="shared" si="26"/>
        <v>64.747501556618502</v>
      </c>
      <c r="K101" s="32">
        <f t="shared" si="27"/>
        <v>-7.6322919097441627E-2</v>
      </c>
      <c r="L101" s="32">
        <f t="shared" si="28"/>
        <v>-0.21650140845775781</v>
      </c>
      <c r="M101" s="32">
        <f t="shared" ca="1" si="29"/>
        <v>-3.033476869299645E-2</v>
      </c>
      <c r="N101" s="32">
        <f t="shared" ca="1" si="30"/>
        <v>1.1756420428102765E-5</v>
      </c>
      <c r="O101" s="122">
        <f t="shared" ca="1" si="31"/>
        <v>1814591073.2740819</v>
      </c>
      <c r="P101" s="32">
        <f t="shared" ca="1" si="32"/>
        <v>659596155.85356832</v>
      </c>
      <c r="Q101" s="32">
        <f t="shared" ca="1" si="33"/>
        <v>115640028.57009034</v>
      </c>
      <c r="R101" s="16">
        <f t="shared" ca="1" si="34"/>
        <v>3.4287636879934968E-3</v>
      </c>
    </row>
    <row r="102" spans="1:18">
      <c r="A102" s="71">
        <v>29391</v>
      </c>
      <c r="B102" s="71">
        <v>-3.6696269999083597E-2</v>
      </c>
      <c r="C102" s="71">
        <v>1</v>
      </c>
      <c r="D102" s="72">
        <f t="shared" si="20"/>
        <v>2.9390999999999998</v>
      </c>
      <c r="E102" s="72">
        <f t="shared" si="21"/>
        <v>-3.6696269999083597E-2</v>
      </c>
      <c r="F102" s="32">
        <f t="shared" si="22"/>
        <v>2.9390999999999998</v>
      </c>
      <c r="G102" s="32">
        <f t="shared" si="23"/>
        <v>-3.6696269999083597E-2</v>
      </c>
      <c r="H102" s="32">
        <f t="shared" si="24"/>
        <v>8.6383088099999998</v>
      </c>
      <c r="I102" s="32">
        <f t="shared" si="25"/>
        <v>25.388853423470998</v>
      </c>
      <c r="J102" s="32">
        <f t="shared" si="26"/>
        <v>74.6203790969236</v>
      </c>
      <c r="K102" s="32">
        <f t="shared" si="27"/>
        <v>-0.1078540071543066</v>
      </c>
      <c r="L102" s="32">
        <f t="shared" si="28"/>
        <v>-0.31699371242722252</v>
      </c>
      <c r="M102" s="32">
        <f t="shared" ca="1" si="29"/>
        <v>-3.6023168855642287E-2</v>
      </c>
      <c r="N102" s="32">
        <f t="shared" ca="1" si="30"/>
        <v>4.5306514930199869E-7</v>
      </c>
      <c r="O102" s="122">
        <f t="shared" ca="1" si="31"/>
        <v>4148541723.3214617</v>
      </c>
      <c r="P102" s="32">
        <f t="shared" ca="1" si="32"/>
        <v>746371504.77145851</v>
      </c>
      <c r="Q102" s="32">
        <f t="shared" ca="1" si="33"/>
        <v>196135682.42304879</v>
      </c>
      <c r="R102" s="16">
        <f t="shared" ca="1" si="34"/>
        <v>-6.7310114344130978E-4</v>
      </c>
    </row>
    <row r="103" spans="1:18">
      <c r="A103" s="71">
        <v>29480</v>
      </c>
      <c r="B103" s="71">
        <v>-3.6355600008391775E-2</v>
      </c>
      <c r="C103" s="71">
        <v>1</v>
      </c>
      <c r="D103" s="72">
        <f t="shared" si="20"/>
        <v>2.948</v>
      </c>
      <c r="E103" s="72">
        <f t="shared" si="21"/>
        <v>-3.6355600008391775E-2</v>
      </c>
      <c r="F103" s="32">
        <f t="shared" si="22"/>
        <v>2.948</v>
      </c>
      <c r="G103" s="32">
        <f t="shared" si="23"/>
        <v>-3.6355600008391775E-2</v>
      </c>
      <c r="H103" s="32">
        <f t="shared" si="24"/>
        <v>8.6907040000000002</v>
      </c>
      <c r="I103" s="32">
        <f t="shared" si="25"/>
        <v>25.620195391999999</v>
      </c>
      <c r="J103" s="32">
        <f t="shared" si="26"/>
        <v>75.528336015615992</v>
      </c>
      <c r="K103" s="32">
        <f t="shared" si="27"/>
        <v>-0.10717630882473896</v>
      </c>
      <c r="L103" s="32">
        <f t="shared" si="28"/>
        <v>-0.31595575841533041</v>
      </c>
      <c r="M103" s="32">
        <f t="shared" ca="1" si="29"/>
        <v>-3.653400849171505E-2</v>
      </c>
      <c r="N103" s="32">
        <f t="shared" ca="1" si="30"/>
        <v>3.1829586921711364E-8</v>
      </c>
      <c r="O103" s="122">
        <f t="shared" ca="1" si="31"/>
        <v>4399716248.7980947</v>
      </c>
      <c r="P103" s="32">
        <f t="shared" ca="1" si="32"/>
        <v>753906235.3075949</v>
      </c>
      <c r="Q103" s="32">
        <f t="shared" ca="1" si="33"/>
        <v>204305279.8023389</v>
      </c>
      <c r="R103" s="16">
        <f t="shared" ca="1" si="34"/>
        <v>1.7840848332327519E-4</v>
      </c>
    </row>
    <row r="104" spans="1:18">
      <c r="A104" s="71">
        <v>31442.5</v>
      </c>
      <c r="B104" s="71">
        <v>-3.8321724998240825E-2</v>
      </c>
      <c r="C104" s="71">
        <v>1</v>
      </c>
      <c r="D104" s="72">
        <f t="shared" si="20"/>
        <v>3.14425</v>
      </c>
      <c r="E104" s="72">
        <f t="shared" si="21"/>
        <v>-3.8321724998240825E-2</v>
      </c>
      <c r="F104" s="32">
        <f t="shared" si="22"/>
        <v>3.14425</v>
      </c>
      <c r="G104" s="32">
        <f t="shared" si="23"/>
        <v>-3.8321724998240825E-2</v>
      </c>
      <c r="H104" s="32">
        <f t="shared" si="24"/>
        <v>9.8863080624999995</v>
      </c>
      <c r="I104" s="32">
        <f t="shared" si="25"/>
        <v>31.085024125515623</v>
      </c>
      <c r="J104" s="32">
        <f t="shared" si="26"/>
        <v>97.739087106652505</v>
      </c>
      <c r="K104" s="32">
        <f t="shared" si="27"/>
        <v>-0.12049308382571872</v>
      </c>
      <c r="L104" s="32">
        <f t="shared" si="28"/>
        <v>-0.37886037881901607</v>
      </c>
      <c r="M104" s="32">
        <f t="shared" ca="1" si="29"/>
        <v>-4.8475903966478745E-2</v>
      </c>
      <c r="N104" s="32">
        <f t="shared" ca="1" si="30"/>
        <v>1.0310735051900531E-4</v>
      </c>
      <c r="O104" s="122">
        <f t="shared" ca="1" si="31"/>
        <v>12048685759.734774</v>
      </c>
      <c r="P104" s="32">
        <f t="shared" ca="1" si="32"/>
        <v>918126137.69128823</v>
      </c>
      <c r="Q104" s="32">
        <f t="shared" ca="1" si="33"/>
        <v>437374831.65760201</v>
      </c>
      <c r="R104" s="16">
        <f t="shared" ca="1" si="34"/>
        <v>1.015417896823792E-2</v>
      </c>
    </row>
    <row r="105" spans="1:18">
      <c r="A105" s="71"/>
      <c r="B105" s="71"/>
      <c r="C105" s="71"/>
      <c r="D105" s="72"/>
      <c r="E105" s="72"/>
      <c r="F105" s="32"/>
      <c r="G105" s="32"/>
      <c r="H105" s="32"/>
      <c r="I105" s="32"/>
      <c r="J105" s="32"/>
      <c r="K105" s="32"/>
      <c r="L105" s="32"/>
      <c r="M105" s="32"/>
      <c r="N105" s="32"/>
      <c r="O105" s="122"/>
      <c r="P105" s="32"/>
      <c r="Q105" s="32"/>
    </row>
    <row r="106" spans="1:18">
      <c r="A106" s="71"/>
      <c r="B106" s="71"/>
      <c r="C106" s="71"/>
      <c r="D106" s="72"/>
      <c r="E106" s="72"/>
      <c r="F106" s="32"/>
      <c r="G106" s="32"/>
      <c r="H106" s="32"/>
      <c r="I106" s="32"/>
      <c r="J106" s="32"/>
      <c r="K106" s="32"/>
      <c r="L106" s="32"/>
      <c r="M106" s="32"/>
      <c r="N106" s="32"/>
      <c r="O106" s="122"/>
      <c r="P106" s="32"/>
      <c r="Q106" s="32"/>
    </row>
    <row r="107" spans="1:18">
      <c r="A107" s="71"/>
      <c r="B107" s="71"/>
      <c r="C107" s="71"/>
      <c r="D107" s="72"/>
      <c r="E107" s="72"/>
      <c r="F107" s="32"/>
      <c r="G107" s="32"/>
      <c r="H107" s="32"/>
      <c r="I107" s="32"/>
      <c r="J107" s="32"/>
      <c r="K107" s="32"/>
      <c r="L107" s="32"/>
      <c r="M107" s="32"/>
      <c r="N107" s="32"/>
      <c r="O107" s="122"/>
      <c r="P107" s="32"/>
      <c r="Q107" s="32"/>
    </row>
    <row r="108" spans="1:18">
      <c r="A108" s="71"/>
      <c r="B108" s="71"/>
      <c r="C108" s="71"/>
      <c r="D108" s="72"/>
      <c r="E108" s="72"/>
      <c r="F108" s="32"/>
      <c r="G108" s="32"/>
      <c r="H108" s="32"/>
      <c r="I108" s="32"/>
      <c r="J108" s="32"/>
      <c r="K108" s="32"/>
      <c r="L108" s="32"/>
      <c r="M108" s="32"/>
      <c r="N108" s="32"/>
      <c r="O108" s="122"/>
      <c r="P108" s="32"/>
      <c r="Q108" s="32"/>
    </row>
    <row r="109" spans="1:18">
      <c r="A109" s="71"/>
      <c r="B109" s="71"/>
      <c r="C109" s="71"/>
      <c r="D109" s="72"/>
      <c r="E109" s="72"/>
      <c r="F109" s="32"/>
      <c r="G109" s="32"/>
      <c r="H109" s="32"/>
      <c r="I109" s="32"/>
      <c r="J109" s="32"/>
      <c r="K109" s="32"/>
      <c r="L109" s="32"/>
      <c r="M109" s="32"/>
      <c r="N109" s="32"/>
      <c r="O109" s="122"/>
      <c r="P109" s="32"/>
      <c r="Q109" s="32"/>
    </row>
    <row r="110" spans="1:18">
      <c r="A110" s="71"/>
      <c r="B110" s="71"/>
      <c r="C110" s="71"/>
      <c r="D110" s="72"/>
      <c r="E110" s="72"/>
      <c r="F110" s="32"/>
      <c r="G110" s="32"/>
      <c r="H110" s="32"/>
      <c r="I110" s="32"/>
      <c r="J110" s="32"/>
      <c r="K110" s="32"/>
      <c r="L110" s="32"/>
      <c r="M110" s="32"/>
      <c r="N110" s="32"/>
      <c r="O110" s="122"/>
      <c r="P110" s="32"/>
      <c r="Q110" s="32"/>
    </row>
    <row r="111" spans="1:18">
      <c r="A111" s="71"/>
      <c r="B111" s="71"/>
      <c r="C111" s="71"/>
      <c r="D111" s="72"/>
      <c r="E111" s="72"/>
      <c r="F111" s="32"/>
      <c r="G111" s="32"/>
      <c r="H111" s="32"/>
      <c r="I111" s="32"/>
      <c r="J111" s="32"/>
      <c r="K111" s="32"/>
      <c r="L111" s="32"/>
      <c r="M111" s="32"/>
      <c r="N111" s="32"/>
      <c r="O111" s="122"/>
      <c r="P111" s="32"/>
      <c r="Q111" s="32"/>
    </row>
    <row r="112" spans="1:18">
      <c r="A112" s="71"/>
      <c r="B112" s="71"/>
      <c r="C112" s="71"/>
      <c r="D112" s="72"/>
      <c r="E112" s="72"/>
      <c r="F112" s="32"/>
      <c r="G112" s="32"/>
      <c r="H112" s="32"/>
      <c r="I112" s="32"/>
      <c r="J112" s="32"/>
      <c r="K112" s="32"/>
      <c r="L112" s="32"/>
      <c r="M112" s="32"/>
      <c r="N112" s="32"/>
      <c r="O112" s="122"/>
      <c r="P112" s="32"/>
      <c r="Q112" s="32"/>
    </row>
    <row r="113" spans="1:17">
      <c r="A113" s="71"/>
      <c r="B113" s="71"/>
      <c r="C113" s="71"/>
      <c r="D113" s="72"/>
      <c r="E113" s="72"/>
      <c r="F113" s="32"/>
      <c r="G113" s="32"/>
      <c r="H113" s="32"/>
      <c r="I113" s="32"/>
      <c r="J113" s="32"/>
      <c r="K113" s="32"/>
      <c r="L113" s="32"/>
      <c r="M113" s="32"/>
      <c r="N113" s="32"/>
      <c r="O113" s="122"/>
      <c r="P113" s="32"/>
      <c r="Q113" s="32"/>
    </row>
    <row r="114" spans="1:17">
      <c r="A114" s="71"/>
      <c r="B114" s="71"/>
      <c r="C114" s="71"/>
      <c r="D114" s="72"/>
      <c r="E114" s="72"/>
      <c r="F114" s="32"/>
      <c r="G114" s="32"/>
      <c r="H114" s="32"/>
      <c r="I114" s="32"/>
      <c r="J114" s="32"/>
      <c r="K114" s="32"/>
      <c r="L114" s="32"/>
      <c r="M114" s="32"/>
      <c r="N114" s="32"/>
      <c r="O114" s="122"/>
      <c r="P114" s="32"/>
      <c r="Q114" s="32"/>
    </row>
    <row r="115" spans="1:17">
      <c r="A115" s="71"/>
      <c r="B115" s="71"/>
      <c r="C115" s="71"/>
      <c r="D115" s="72"/>
      <c r="E115" s="72"/>
      <c r="F115" s="32"/>
      <c r="G115" s="32"/>
      <c r="H115" s="32"/>
      <c r="I115" s="32"/>
      <c r="J115" s="32"/>
      <c r="K115" s="32"/>
      <c r="L115" s="32"/>
      <c r="M115" s="32"/>
      <c r="N115" s="32"/>
      <c r="O115" s="122"/>
      <c r="P115" s="32"/>
      <c r="Q115" s="32"/>
    </row>
    <row r="116" spans="1:17">
      <c r="A116" s="71"/>
      <c r="B116" s="71"/>
      <c r="C116" s="71"/>
      <c r="D116" s="72"/>
      <c r="E116" s="72"/>
      <c r="F116" s="32"/>
      <c r="G116" s="32"/>
      <c r="H116" s="32"/>
      <c r="I116" s="32"/>
      <c r="J116" s="32"/>
      <c r="K116" s="32"/>
      <c r="L116" s="32"/>
      <c r="M116" s="32"/>
      <c r="N116" s="32"/>
      <c r="O116" s="122"/>
      <c r="P116" s="32"/>
      <c r="Q116" s="32"/>
    </row>
    <row r="117" spans="1:17">
      <c r="A117" s="71"/>
      <c r="B117" s="71"/>
      <c r="C117" s="71"/>
      <c r="D117" s="72"/>
      <c r="E117" s="72"/>
      <c r="F117" s="32"/>
      <c r="G117" s="32"/>
      <c r="H117" s="32"/>
      <c r="I117" s="32"/>
      <c r="J117" s="32"/>
      <c r="K117" s="32"/>
      <c r="L117" s="32"/>
      <c r="M117" s="32"/>
      <c r="N117" s="32"/>
      <c r="O117" s="122"/>
      <c r="P117" s="32"/>
      <c r="Q117" s="32"/>
    </row>
    <row r="118" spans="1:17">
      <c r="A118" s="71"/>
      <c r="B118" s="71"/>
      <c r="C118" s="71"/>
      <c r="D118" s="72"/>
      <c r="E118" s="72"/>
      <c r="F118" s="32"/>
      <c r="G118" s="32"/>
      <c r="H118" s="32"/>
      <c r="I118" s="32"/>
      <c r="J118" s="32"/>
      <c r="K118" s="32"/>
      <c r="L118" s="32"/>
      <c r="M118" s="32"/>
      <c r="N118" s="32"/>
      <c r="O118" s="122"/>
      <c r="P118" s="32"/>
      <c r="Q118" s="32"/>
    </row>
    <row r="119" spans="1:17">
      <c r="A119" s="71"/>
      <c r="B119" s="71"/>
      <c r="C119" s="71"/>
      <c r="D119" s="72"/>
      <c r="E119" s="72"/>
      <c r="F119" s="32"/>
      <c r="G119" s="32"/>
      <c r="H119" s="32"/>
      <c r="I119" s="32"/>
      <c r="J119" s="32"/>
      <c r="K119" s="32"/>
      <c r="L119" s="32"/>
      <c r="M119" s="32"/>
      <c r="N119" s="32"/>
      <c r="O119" s="122"/>
      <c r="P119" s="32"/>
      <c r="Q119" s="32"/>
    </row>
    <row r="120" spans="1:17">
      <c r="A120" s="71"/>
      <c r="B120" s="71"/>
      <c r="C120" s="71"/>
      <c r="D120" s="72"/>
      <c r="E120" s="72"/>
      <c r="F120" s="32"/>
      <c r="G120" s="32"/>
      <c r="H120" s="32"/>
      <c r="I120" s="32"/>
      <c r="J120" s="32"/>
      <c r="K120" s="32"/>
      <c r="L120" s="32"/>
      <c r="M120" s="32"/>
      <c r="N120" s="32"/>
      <c r="O120" s="122"/>
      <c r="P120" s="32"/>
      <c r="Q120" s="32"/>
    </row>
    <row r="121" spans="1:17">
      <c r="A121" s="71"/>
      <c r="B121" s="71"/>
      <c r="C121" s="71"/>
      <c r="D121" s="72"/>
      <c r="E121" s="72"/>
      <c r="F121" s="32"/>
      <c r="G121" s="32"/>
      <c r="H121" s="32"/>
      <c r="I121" s="32"/>
      <c r="J121" s="32"/>
      <c r="K121" s="32"/>
      <c r="L121" s="32"/>
      <c r="M121" s="32"/>
      <c r="N121" s="32"/>
      <c r="O121" s="122"/>
      <c r="P121" s="32"/>
      <c r="Q121" s="32"/>
    </row>
    <row r="122" spans="1:17">
      <c r="A122" s="71"/>
      <c r="B122" s="71"/>
      <c r="C122" s="71"/>
      <c r="D122" s="72"/>
      <c r="E122" s="72"/>
      <c r="F122" s="32"/>
      <c r="G122" s="32"/>
      <c r="H122" s="32"/>
      <c r="I122" s="32"/>
      <c r="J122" s="32"/>
      <c r="K122" s="32"/>
      <c r="L122" s="32"/>
      <c r="M122" s="32"/>
      <c r="N122" s="32"/>
      <c r="O122" s="122"/>
      <c r="P122" s="32"/>
      <c r="Q122" s="32"/>
    </row>
    <row r="123" spans="1:17">
      <c r="A123" s="71"/>
      <c r="B123" s="71"/>
      <c r="C123" s="71"/>
      <c r="D123" s="72"/>
      <c r="E123" s="72"/>
      <c r="F123" s="32"/>
      <c r="G123" s="32"/>
      <c r="H123" s="32"/>
      <c r="I123" s="32"/>
      <c r="J123" s="32"/>
      <c r="K123" s="32"/>
      <c r="L123" s="32"/>
      <c r="M123" s="32"/>
      <c r="N123" s="32"/>
      <c r="O123" s="122"/>
      <c r="P123" s="32"/>
      <c r="Q123" s="32"/>
    </row>
    <row r="124" spans="1:17">
      <c r="A124" s="71"/>
      <c r="B124" s="71"/>
      <c r="C124" s="71"/>
      <c r="D124" s="72"/>
      <c r="E124" s="72"/>
      <c r="F124" s="32"/>
      <c r="G124" s="32"/>
      <c r="H124" s="32"/>
      <c r="I124" s="32"/>
      <c r="J124" s="32"/>
      <c r="K124" s="32"/>
      <c r="L124" s="32"/>
      <c r="M124" s="32"/>
      <c r="N124" s="32"/>
      <c r="O124" s="122"/>
      <c r="P124" s="32"/>
      <c r="Q124" s="32"/>
    </row>
    <row r="125" spans="1:17">
      <c r="A125" s="71"/>
      <c r="B125" s="71"/>
      <c r="C125" s="71"/>
      <c r="D125" s="72"/>
      <c r="E125" s="72"/>
      <c r="F125" s="32"/>
      <c r="G125" s="32"/>
      <c r="H125" s="32"/>
      <c r="I125" s="32"/>
      <c r="J125" s="32"/>
      <c r="K125" s="32"/>
      <c r="L125" s="32"/>
      <c r="M125" s="32"/>
      <c r="N125" s="32"/>
      <c r="O125" s="122"/>
      <c r="P125" s="32"/>
      <c r="Q125" s="32"/>
    </row>
    <row r="126" spans="1:17">
      <c r="A126" s="71"/>
      <c r="B126" s="71"/>
      <c r="C126" s="71"/>
      <c r="D126" s="72"/>
      <c r="E126" s="72"/>
      <c r="F126" s="32"/>
      <c r="G126" s="32"/>
      <c r="H126" s="32"/>
      <c r="I126" s="32"/>
      <c r="J126" s="32"/>
      <c r="K126" s="32"/>
      <c r="L126" s="32"/>
      <c r="M126" s="32"/>
      <c r="N126" s="32"/>
      <c r="O126" s="122"/>
      <c r="P126" s="32"/>
      <c r="Q126" s="32"/>
    </row>
    <row r="127" spans="1:17">
      <c r="A127" s="71"/>
      <c r="B127" s="71"/>
      <c r="C127" s="71"/>
      <c r="D127" s="72"/>
      <c r="E127" s="72"/>
      <c r="F127" s="32"/>
      <c r="G127" s="32"/>
      <c r="H127" s="32"/>
      <c r="I127" s="32"/>
      <c r="J127" s="32"/>
      <c r="K127" s="32"/>
      <c r="L127" s="32"/>
      <c r="M127" s="32"/>
      <c r="N127" s="32"/>
      <c r="O127" s="122"/>
      <c r="P127" s="32"/>
      <c r="Q127" s="32"/>
    </row>
    <row r="128" spans="1:17">
      <c r="A128" s="71"/>
      <c r="B128" s="71"/>
      <c r="C128" s="71"/>
      <c r="D128" s="72"/>
      <c r="E128" s="72"/>
      <c r="F128" s="32"/>
      <c r="G128" s="32"/>
      <c r="H128" s="32"/>
      <c r="I128" s="32"/>
      <c r="J128" s="32"/>
      <c r="K128" s="32"/>
      <c r="L128" s="32"/>
      <c r="M128" s="32"/>
      <c r="N128" s="32"/>
      <c r="O128" s="122"/>
      <c r="P128" s="32"/>
      <c r="Q128" s="32"/>
    </row>
    <row r="129" spans="1:17">
      <c r="A129" s="71"/>
      <c r="B129" s="71"/>
      <c r="C129" s="71"/>
      <c r="D129" s="72"/>
      <c r="E129" s="72"/>
      <c r="F129" s="32"/>
      <c r="G129" s="32"/>
      <c r="H129" s="32"/>
      <c r="I129" s="32"/>
      <c r="J129" s="32"/>
      <c r="K129" s="32"/>
      <c r="L129" s="32"/>
      <c r="M129" s="32"/>
      <c r="N129" s="32"/>
      <c r="O129" s="122"/>
      <c r="P129" s="32"/>
      <c r="Q129" s="32"/>
    </row>
    <row r="130" spans="1:17">
      <c r="A130" s="71"/>
      <c r="B130" s="71"/>
      <c r="C130" s="71"/>
      <c r="D130" s="72"/>
      <c r="E130" s="72"/>
      <c r="F130" s="32"/>
      <c r="G130" s="32"/>
      <c r="H130" s="32"/>
      <c r="I130" s="32"/>
      <c r="J130" s="32"/>
      <c r="K130" s="32"/>
      <c r="L130" s="32"/>
      <c r="M130" s="32"/>
      <c r="N130" s="32"/>
      <c r="O130" s="122"/>
      <c r="P130" s="32"/>
      <c r="Q130" s="32"/>
    </row>
    <row r="131" spans="1:17">
      <c r="A131" s="71"/>
      <c r="B131" s="71"/>
      <c r="C131" s="71"/>
      <c r="D131" s="72"/>
      <c r="E131" s="72"/>
      <c r="F131" s="32"/>
      <c r="G131" s="32"/>
      <c r="H131" s="32"/>
      <c r="I131" s="32"/>
      <c r="J131" s="32"/>
      <c r="K131" s="32"/>
      <c r="L131" s="32"/>
      <c r="M131" s="32"/>
      <c r="N131" s="32"/>
      <c r="O131" s="122"/>
      <c r="P131" s="32"/>
      <c r="Q131" s="32"/>
    </row>
    <row r="132" spans="1:17">
      <c r="A132" s="71"/>
      <c r="B132" s="71"/>
      <c r="C132" s="71"/>
      <c r="D132" s="72"/>
      <c r="E132" s="72"/>
      <c r="F132" s="32"/>
      <c r="G132" s="32"/>
      <c r="H132" s="32"/>
      <c r="I132" s="32"/>
      <c r="J132" s="32"/>
      <c r="K132" s="32"/>
      <c r="L132" s="32"/>
      <c r="M132" s="32"/>
      <c r="N132" s="32"/>
      <c r="O132" s="122"/>
      <c r="P132" s="32"/>
      <c r="Q132" s="32"/>
    </row>
    <row r="133" spans="1:17">
      <c r="A133" s="71"/>
      <c r="B133" s="71"/>
      <c r="C133" s="71"/>
      <c r="D133" s="72"/>
      <c r="E133" s="72"/>
      <c r="F133" s="32"/>
      <c r="G133" s="32"/>
      <c r="H133" s="32"/>
      <c r="I133" s="32"/>
      <c r="J133" s="32"/>
      <c r="K133" s="32"/>
      <c r="L133" s="32"/>
      <c r="M133" s="32"/>
      <c r="N133" s="32"/>
      <c r="O133" s="122"/>
      <c r="P133" s="32"/>
      <c r="Q133" s="32"/>
    </row>
    <row r="134" spans="1:17">
      <c r="A134" s="71"/>
      <c r="B134" s="71"/>
      <c r="C134" s="71"/>
      <c r="D134" s="72"/>
      <c r="E134" s="72"/>
      <c r="F134" s="32"/>
      <c r="G134" s="32"/>
      <c r="H134" s="32"/>
      <c r="I134" s="32"/>
      <c r="J134" s="32"/>
      <c r="K134" s="32"/>
      <c r="L134" s="32"/>
      <c r="M134" s="32"/>
      <c r="N134" s="32"/>
      <c r="O134" s="122"/>
      <c r="P134" s="32"/>
      <c r="Q134" s="32"/>
    </row>
    <row r="135" spans="1:17">
      <c r="A135" s="71"/>
      <c r="B135" s="71"/>
      <c r="C135" s="71"/>
      <c r="D135" s="72"/>
      <c r="E135" s="72"/>
      <c r="F135" s="32"/>
      <c r="G135" s="32"/>
      <c r="H135" s="32"/>
      <c r="I135" s="32"/>
      <c r="J135" s="32"/>
      <c r="K135" s="32"/>
      <c r="L135" s="32"/>
      <c r="M135" s="32"/>
      <c r="N135" s="32"/>
      <c r="O135" s="122"/>
      <c r="P135" s="32"/>
      <c r="Q135" s="32"/>
    </row>
    <row r="136" spans="1:17">
      <c r="A136" s="71"/>
      <c r="B136" s="71"/>
      <c r="C136" s="71"/>
      <c r="D136" s="72"/>
      <c r="E136" s="72"/>
      <c r="F136" s="32"/>
      <c r="G136" s="32"/>
      <c r="H136" s="32"/>
      <c r="I136" s="32"/>
      <c r="J136" s="32"/>
      <c r="K136" s="32"/>
      <c r="L136" s="32"/>
      <c r="M136" s="32"/>
      <c r="N136" s="32"/>
      <c r="O136" s="122"/>
      <c r="P136" s="32"/>
      <c r="Q136" s="32"/>
    </row>
    <row r="137" spans="1:17">
      <c r="A137" s="71"/>
      <c r="B137" s="71"/>
      <c r="C137" s="71"/>
      <c r="D137" s="72"/>
      <c r="E137" s="72"/>
      <c r="F137" s="32"/>
      <c r="G137" s="32"/>
      <c r="H137" s="32"/>
      <c r="I137" s="32"/>
      <c r="J137" s="32"/>
      <c r="K137" s="32"/>
      <c r="L137" s="32"/>
      <c r="M137" s="32"/>
      <c r="N137" s="32"/>
      <c r="O137" s="122"/>
      <c r="P137" s="32"/>
      <c r="Q137" s="32"/>
    </row>
    <row r="138" spans="1:17">
      <c r="A138" s="71"/>
      <c r="B138" s="71"/>
      <c r="C138" s="71"/>
      <c r="D138" s="72"/>
      <c r="E138" s="72"/>
      <c r="F138" s="32"/>
      <c r="G138" s="32"/>
      <c r="H138" s="32"/>
      <c r="I138" s="32"/>
      <c r="J138" s="32"/>
      <c r="K138" s="32"/>
      <c r="L138" s="32"/>
      <c r="M138" s="32"/>
      <c r="N138" s="32"/>
      <c r="O138" s="122"/>
      <c r="P138" s="32"/>
      <c r="Q138" s="32"/>
    </row>
    <row r="139" spans="1:17">
      <c r="A139" s="71"/>
      <c r="B139" s="71"/>
      <c r="C139" s="71"/>
      <c r="D139" s="72"/>
      <c r="E139" s="72"/>
      <c r="F139" s="32"/>
      <c r="G139" s="32"/>
      <c r="H139" s="32"/>
      <c r="I139" s="32"/>
      <c r="J139" s="32"/>
      <c r="K139" s="32"/>
      <c r="L139" s="32"/>
      <c r="M139" s="32"/>
      <c r="N139" s="32"/>
      <c r="O139" s="122"/>
      <c r="P139" s="32"/>
      <c r="Q139" s="32"/>
    </row>
    <row r="140" spans="1:17">
      <c r="A140" s="71"/>
      <c r="B140" s="71"/>
      <c r="C140" s="71"/>
      <c r="D140" s="72"/>
      <c r="E140" s="72"/>
      <c r="F140" s="32"/>
      <c r="G140" s="32"/>
      <c r="H140" s="32"/>
      <c r="I140" s="32"/>
      <c r="J140" s="32"/>
      <c r="K140" s="32"/>
      <c r="L140" s="32"/>
      <c r="M140" s="32"/>
      <c r="N140" s="32"/>
      <c r="O140" s="122"/>
      <c r="P140" s="32"/>
      <c r="Q140" s="32"/>
    </row>
    <row r="141" spans="1:17">
      <c r="A141" s="71"/>
      <c r="B141" s="71"/>
      <c r="C141" s="71"/>
      <c r="D141" s="72"/>
      <c r="E141" s="72"/>
      <c r="F141" s="32"/>
      <c r="G141" s="32"/>
      <c r="H141" s="32"/>
      <c r="I141" s="32"/>
      <c r="J141" s="32"/>
      <c r="K141" s="32"/>
      <c r="L141" s="32"/>
      <c r="M141" s="32"/>
      <c r="N141" s="32"/>
      <c r="O141" s="122"/>
      <c r="P141" s="32"/>
      <c r="Q141" s="32"/>
    </row>
    <row r="142" spans="1:17">
      <c r="A142" s="71"/>
      <c r="B142" s="71"/>
      <c r="C142" s="71"/>
      <c r="D142" s="72"/>
      <c r="E142" s="72"/>
      <c r="F142" s="32"/>
      <c r="G142" s="32"/>
      <c r="H142" s="32"/>
      <c r="I142" s="32"/>
      <c r="J142" s="32"/>
      <c r="K142" s="32"/>
      <c r="L142" s="32"/>
      <c r="M142" s="32"/>
      <c r="N142" s="32"/>
      <c r="O142" s="122"/>
      <c r="P142" s="32"/>
      <c r="Q142" s="32"/>
    </row>
    <row r="143" spans="1:17">
      <c r="A143" s="71"/>
      <c r="B143" s="71"/>
      <c r="C143" s="71"/>
      <c r="D143" s="72"/>
      <c r="E143" s="72"/>
      <c r="F143" s="32"/>
      <c r="G143" s="32"/>
      <c r="H143" s="32"/>
      <c r="I143" s="32"/>
      <c r="J143" s="32"/>
      <c r="K143" s="32"/>
      <c r="L143" s="32"/>
      <c r="M143" s="32"/>
      <c r="N143" s="32"/>
      <c r="O143" s="122"/>
      <c r="P143" s="32"/>
      <c r="Q143" s="32"/>
    </row>
    <row r="144" spans="1:17">
      <c r="A144" s="71"/>
      <c r="B144" s="71"/>
      <c r="C144" s="71"/>
      <c r="D144" s="72"/>
      <c r="E144" s="72"/>
      <c r="F144" s="32"/>
      <c r="G144" s="32"/>
      <c r="H144" s="32"/>
      <c r="I144" s="32"/>
      <c r="J144" s="32"/>
      <c r="K144" s="32"/>
      <c r="L144" s="32"/>
      <c r="M144" s="32"/>
      <c r="N144" s="32"/>
      <c r="O144" s="122"/>
      <c r="P144" s="32"/>
      <c r="Q144" s="32"/>
    </row>
    <row r="145" spans="1:17">
      <c r="A145" s="71"/>
      <c r="B145" s="71"/>
      <c r="C145" s="71"/>
      <c r="D145" s="72"/>
      <c r="E145" s="72"/>
      <c r="F145" s="32"/>
      <c r="G145" s="32"/>
      <c r="H145" s="32"/>
      <c r="I145" s="32"/>
      <c r="J145" s="32"/>
      <c r="K145" s="32"/>
      <c r="L145" s="32"/>
      <c r="M145" s="32"/>
      <c r="N145" s="32"/>
      <c r="O145" s="122"/>
      <c r="P145" s="32"/>
      <c r="Q145" s="32"/>
    </row>
    <row r="146" spans="1:17">
      <c r="A146" s="71"/>
      <c r="B146" s="71"/>
      <c r="C146" s="71"/>
      <c r="D146" s="72"/>
      <c r="E146" s="72"/>
      <c r="F146" s="32"/>
      <c r="G146" s="32"/>
      <c r="H146" s="32"/>
      <c r="I146" s="32"/>
      <c r="J146" s="32"/>
      <c r="K146" s="32"/>
      <c r="L146" s="32"/>
      <c r="M146" s="32"/>
      <c r="N146" s="32"/>
      <c r="O146" s="122"/>
      <c r="P146" s="32"/>
      <c r="Q146" s="32"/>
    </row>
    <row r="147" spans="1:17">
      <c r="A147" s="71"/>
      <c r="B147" s="71"/>
      <c r="C147" s="71"/>
      <c r="D147" s="72"/>
      <c r="E147" s="72"/>
      <c r="F147" s="32"/>
      <c r="G147" s="32"/>
      <c r="H147" s="32"/>
      <c r="I147" s="32"/>
      <c r="J147" s="32"/>
      <c r="K147" s="32"/>
      <c r="L147" s="32"/>
      <c r="M147" s="32"/>
      <c r="N147" s="32"/>
      <c r="O147" s="122"/>
      <c r="P147" s="32"/>
      <c r="Q147" s="32"/>
    </row>
    <row r="148" spans="1:17">
      <c r="A148" s="71"/>
      <c r="B148" s="71"/>
      <c r="C148" s="71"/>
      <c r="D148" s="72"/>
      <c r="E148" s="72"/>
      <c r="F148" s="32"/>
      <c r="G148" s="32"/>
      <c r="H148" s="32"/>
      <c r="I148" s="32"/>
      <c r="J148" s="32"/>
      <c r="K148" s="32"/>
      <c r="L148" s="32"/>
      <c r="M148" s="32"/>
      <c r="N148" s="32"/>
      <c r="O148" s="122"/>
      <c r="P148" s="32"/>
      <c r="Q148" s="32"/>
    </row>
    <row r="149" spans="1:17">
      <c r="A149" s="71"/>
      <c r="B149" s="71"/>
      <c r="C149" s="71"/>
      <c r="D149" s="72"/>
      <c r="E149" s="72"/>
      <c r="F149" s="32"/>
      <c r="G149" s="32"/>
      <c r="H149" s="32"/>
      <c r="I149" s="32"/>
      <c r="J149" s="32"/>
      <c r="K149" s="32"/>
      <c r="L149" s="32"/>
      <c r="M149" s="32"/>
      <c r="N149" s="32"/>
      <c r="O149" s="122"/>
      <c r="P149" s="32"/>
      <c r="Q149" s="32"/>
    </row>
    <row r="150" spans="1:17">
      <c r="A150" s="71"/>
      <c r="B150" s="71"/>
      <c r="C150" s="71"/>
      <c r="D150" s="72"/>
      <c r="E150" s="72"/>
      <c r="F150" s="32"/>
      <c r="G150" s="32"/>
      <c r="H150" s="32"/>
      <c r="I150" s="32"/>
      <c r="J150" s="32"/>
      <c r="K150" s="32"/>
      <c r="L150" s="32"/>
      <c r="M150" s="32"/>
      <c r="N150" s="32"/>
      <c r="O150" s="122"/>
      <c r="P150" s="32"/>
      <c r="Q150" s="32"/>
    </row>
    <row r="151" spans="1:17">
      <c r="A151" s="71"/>
      <c r="B151" s="71"/>
      <c r="C151" s="71"/>
      <c r="D151" s="72"/>
      <c r="E151" s="72"/>
      <c r="F151" s="32"/>
      <c r="G151" s="32"/>
      <c r="H151" s="32"/>
      <c r="I151" s="32"/>
      <c r="J151" s="32"/>
      <c r="K151" s="32"/>
      <c r="L151" s="32"/>
      <c r="M151" s="32"/>
      <c r="N151" s="32"/>
      <c r="O151" s="122"/>
      <c r="P151" s="32"/>
      <c r="Q151" s="32"/>
    </row>
    <row r="152" spans="1:17">
      <c r="A152" s="71"/>
      <c r="B152" s="71"/>
      <c r="C152" s="71"/>
      <c r="D152" s="72"/>
      <c r="E152" s="72"/>
      <c r="F152" s="32"/>
      <c r="G152" s="32"/>
      <c r="H152" s="32"/>
      <c r="I152" s="32"/>
      <c r="J152" s="32"/>
      <c r="K152" s="32"/>
      <c r="L152" s="32"/>
      <c r="M152" s="32"/>
      <c r="N152" s="32"/>
      <c r="O152" s="122"/>
      <c r="P152" s="32"/>
      <c r="Q152" s="32"/>
    </row>
    <row r="153" spans="1:17">
      <c r="A153" s="71"/>
      <c r="B153" s="71"/>
      <c r="C153" s="71"/>
      <c r="D153" s="72"/>
      <c r="E153" s="72"/>
      <c r="F153" s="32"/>
      <c r="G153" s="32"/>
      <c r="H153" s="32"/>
      <c r="I153" s="32"/>
      <c r="J153" s="32"/>
      <c r="K153" s="32"/>
      <c r="L153" s="32"/>
      <c r="M153" s="32"/>
      <c r="N153" s="32"/>
      <c r="O153" s="122"/>
      <c r="P153" s="32"/>
      <c r="Q153" s="32"/>
    </row>
    <row r="154" spans="1:17">
      <c r="A154" s="71"/>
      <c r="B154" s="71"/>
      <c r="C154" s="71"/>
      <c r="D154" s="72"/>
      <c r="E154" s="72"/>
      <c r="F154" s="32"/>
      <c r="G154" s="32"/>
      <c r="H154" s="32"/>
      <c r="I154" s="32"/>
      <c r="J154" s="32"/>
      <c r="K154" s="32"/>
      <c r="L154" s="32"/>
      <c r="M154" s="32"/>
      <c r="N154" s="32"/>
      <c r="O154" s="122"/>
      <c r="P154" s="32"/>
      <c r="Q154" s="32"/>
    </row>
    <row r="155" spans="1:17">
      <c r="A155" s="71"/>
      <c r="B155" s="71"/>
      <c r="C155" s="71"/>
      <c r="D155" s="72"/>
      <c r="E155" s="72"/>
      <c r="F155" s="32"/>
      <c r="G155" s="32"/>
      <c r="H155" s="32"/>
      <c r="I155" s="32"/>
      <c r="J155" s="32"/>
      <c r="K155" s="32"/>
      <c r="L155" s="32"/>
      <c r="M155" s="32"/>
      <c r="N155" s="32"/>
      <c r="O155" s="122"/>
      <c r="P155" s="32"/>
      <c r="Q155" s="32"/>
    </row>
    <row r="156" spans="1:17">
      <c r="A156" s="71"/>
      <c r="B156" s="71"/>
      <c r="C156" s="71"/>
      <c r="D156" s="72"/>
      <c r="E156" s="72"/>
      <c r="F156" s="32"/>
      <c r="G156" s="32"/>
      <c r="H156" s="32"/>
      <c r="I156" s="32"/>
      <c r="J156" s="32"/>
      <c r="K156" s="32"/>
      <c r="L156" s="32"/>
      <c r="M156" s="32"/>
      <c r="N156" s="32"/>
      <c r="O156" s="122"/>
      <c r="P156" s="32"/>
      <c r="Q156" s="32"/>
    </row>
    <row r="157" spans="1:17">
      <c r="A157" s="71"/>
      <c r="B157" s="71"/>
      <c r="C157" s="71"/>
      <c r="D157" s="72"/>
      <c r="E157" s="72"/>
      <c r="F157" s="32"/>
      <c r="G157" s="32"/>
      <c r="H157" s="32"/>
      <c r="I157" s="32"/>
      <c r="J157" s="32"/>
      <c r="K157" s="32"/>
      <c r="L157" s="32"/>
      <c r="M157" s="32"/>
      <c r="N157" s="32"/>
      <c r="O157" s="122"/>
      <c r="P157" s="32"/>
      <c r="Q157" s="32"/>
    </row>
    <row r="158" spans="1:17">
      <c r="A158" s="71"/>
      <c r="B158" s="71"/>
      <c r="C158" s="71"/>
      <c r="D158" s="72"/>
      <c r="E158" s="72"/>
      <c r="F158" s="32"/>
      <c r="G158" s="32"/>
      <c r="H158" s="32"/>
      <c r="I158" s="32"/>
      <c r="J158" s="32"/>
      <c r="K158" s="32"/>
      <c r="L158" s="32"/>
      <c r="M158" s="32"/>
      <c r="N158" s="32"/>
      <c r="O158" s="122"/>
      <c r="P158" s="32"/>
      <c r="Q158" s="32"/>
    </row>
    <row r="159" spans="1:17">
      <c r="A159" s="71"/>
      <c r="B159" s="71"/>
      <c r="C159" s="71"/>
      <c r="D159" s="72"/>
      <c r="E159" s="72"/>
      <c r="F159" s="32"/>
      <c r="G159" s="32"/>
      <c r="H159" s="32"/>
      <c r="I159" s="32"/>
      <c r="J159" s="32"/>
      <c r="K159" s="32"/>
      <c r="L159" s="32"/>
      <c r="M159" s="32"/>
      <c r="N159" s="32"/>
      <c r="O159" s="122"/>
      <c r="P159" s="32"/>
      <c r="Q159" s="32"/>
    </row>
    <row r="160" spans="1:17">
      <c r="A160" s="71"/>
      <c r="B160" s="71"/>
      <c r="C160" s="71"/>
      <c r="D160" s="72"/>
      <c r="E160" s="72"/>
      <c r="F160" s="32"/>
      <c r="G160" s="32"/>
      <c r="H160" s="32"/>
      <c r="I160" s="32"/>
      <c r="J160" s="32"/>
      <c r="K160" s="32"/>
      <c r="L160" s="32"/>
      <c r="M160" s="32"/>
      <c r="N160" s="32"/>
      <c r="O160" s="122"/>
      <c r="P160" s="32"/>
      <c r="Q160" s="32"/>
    </row>
    <row r="161" spans="1:17">
      <c r="A161" s="71"/>
      <c r="B161" s="71"/>
      <c r="C161" s="71"/>
      <c r="D161" s="72"/>
      <c r="E161" s="72"/>
      <c r="F161" s="32"/>
      <c r="G161" s="32"/>
      <c r="H161" s="32"/>
      <c r="I161" s="32"/>
      <c r="J161" s="32"/>
      <c r="K161" s="32"/>
      <c r="L161" s="32"/>
      <c r="M161" s="32"/>
      <c r="N161" s="32"/>
      <c r="O161" s="122"/>
      <c r="P161" s="32"/>
      <c r="Q161" s="32"/>
    </row>
    <row r="162" spans="1:17">
      <c r="A162" s="71"/>
      <c r="B162" s="71"/>
      <c r="C162" s="71"/>
      <c r="D162" s="72"/>
      <c r="E162" s="72"/>
      <c r="F162" s="32"/>
      <c r="G162" s="32"/>
      <c r="H162" s="32"/>
      <c r="I162" s="32"/>
      <c r="J162" s="32"/>
      <c r="K162" s="32"/>
      <c r="L162" s="32"/>
      <c r="M162" s="32"/>
      <c r="N162" s="32"/>
      <c r="O162" s="122"/>
      <c r="P162" s="32"/>
      <c r="Q162" s="32"/>
    </row>
    <row r="163" spans="1:17">
      <c r="A163" s="71"/>
      <c r="B163" s="71"/>
      <c r="C163" s="71"/>
      <c r="D163" s="72"/>
      <c r="E163" s="72"/>
      <c r="F163" s="32"/>
      <c r="G163" s="32"/>
      <c r="H163" s="32"/>
      <c r="I163" s="32"/>
      <c r="J163" s="32"/>
      <c r="K163" s="32"/>
      <c r="L163" s="32"/>
      <c r="M163" s="32"/>
      <c r="N163" s="32"/>
      <c r="O163" s="122"/>
      <c r="P163" s="32"/>
      <c r="Q163" s="32"/>
    </row>
    <row r="164" spans="1:17">
      <c r="A164" s="71"/>
      <c r="B164" s="71"/>
      <c r="C164" s="71"/>
      <c r="D164" s="72"/>
      <c r="E164" s="72"/>
      <c r="F164" s="32"/>
      <c r="G164" s="32"/>
      <c r="H164" s="32"/>
      <c r="I164" s="32"/>
      <c r="J164" s="32"/>
      <c r="K164" s="32"/>
      <c r="L164" s="32"/>
      <c r="M164" s="32"/>
      <c r="N164" s="32"/>
      <c r="O164" s="122"/>
      <c r="P164" s="32"/>
      <c r="Q164" s="32"/>
    </row>
    <row r="165" spans="1:17">
      <c r="A165" s="71"/>
      <c r="B165" s="71"/>
      <c r="C165" s="71"/>
      <c r="D165" s="72"/>
      <c r="E165" s="72"/>
      <c r="F165" s="32"/>
      <c r="G165" s="32"/>
      <c r="H165" s="32"/>
      <c r="I165" s="32"/>
      <c r="J165" s="32"/>
      <c r="K165" s="32"/>
      <c r="L165" s="32"/>
      <c r="M165" s="32"/>
      <c r="N165" s="32"/>
      <c r="O165" s="122"/>
      <c r="P165" s="32"/>
      <c r="Q165" s="32"/>
    </row>
    <row r="166" spans="1:17">
      <c r="A166" s="71"/>
      <c r="B166" s="71"/>
      <c r="C166" s="71"/>
      <c r="D166" s="72"/>
      <c r="E166" s="72"/>
      <c r="F166" s="32"/>
      <c r="G166" s="32"/>
      <c r="H166" s="32"/>
      <c r="I166" s="32"/>
      <c r="J166" s="32"/>
      <c r="K166" s="32"/>
      <c r="L166" s="32"/>
      <c r="M166" s="32"/>
      <c r="N166" s="32"/>
      <c r="O166" s="122"/>
      <c r="P166" s="32"/>
      <c r="Q166" s="32"/>
    </row>
    <row r="167" spans="1:17">
      <c r="A167" s="71"/>
      <c r="B167" s="71"/>
      <c r="C167" s="71"/>
      <c r="D167" s="72"/>
      <c r="E167" s="72"/>
      <c r="F167" s="32"/>
      <c r="G167" s="32"/>
      <c r="H167" s="32"/>
      <c r="I167" s="32"/>
      <c r="J167" s="32"/>
      <c r="K167" s="32"/>
      <c r="L167" s="32"/>
      <c r="M167" s="32"/>
      <c r="N167" s="32"/>
      <c r="O167" s="122"/>
      <c r="P167" s="32"/>
      <c r="Q167" s="32"/>
    </row>
    <row r="168" spans="1:17">
      <c r="A168" s="71"/>
      <c r="B168" s="71"/>
      <c r="C168" s="71"/>
      <c r="D168" s="72"/>
      <c r="E168" s="72"/>
      <c r="F168" s="32"/>
      <c r="G168" s="32"/>
      <c r="H168" s="32"/>
      <c r="I168" s="32"/>
      <c r="J168" s="32"/>
      <c r="K168" s="32"/>
      <c r="L168" s="32"/>
      <c r="M168" s="32"/>
      <c r="N168" s="32"/>
      <c r="O168" s="122"/>
      <c r="P168" s="32"/>
      <c r="Q168" s="32"/>
    </row>
    <row r="169" spans="1:17">
      <c r="A169" s="71"/>
      <c r="B169" s="71"/>
      <c r="C169" s="71"/>
      <c r="D169" s="72"/>
      <c r="E169" s="72"/>
      <c r="F169" s="32"/>
      <c r="G169" s="32"/>
      <c r="H169" s="32"/>
      <c r="I169" s="32"/>
      <c r="J169" s="32"/>
      <c r="K169" s="32"/>
      <c r="L169" s="32"/>
      <c r="M169" s="32"/>
      <c r="N169" s="32"/>
      <c r="O169" s="122"/>
      <c r="P169" s="32"/>
      <c r="Q169" s="32"/>
    </row>
    <row r="170" spans="1:17">
      <c r="A170" s="71"/>
      <c r="B170" s="71"/>
      <c r="C170" s="71"/>
      <c r="D170" s="72"/>
      <c r="E170" s="72"/>
      <c r="F170" s="32"/>
      <c r="G170" s="32"/>
      <c r="H170" s="32"/>
      <c r="I170" s="32"/>
      <c r="J170" s="32"/>
      <c r="K170" s="32"/>
      <c r="L170" s="32"/>
      <c r="M170" s="32"/>
      <c r="N170" s="32"/>
      <c r="O170" s="122"/>
      <c r="P170" s="32"/>
      <c r="Q170" s="32"/>
    </row>
    <row r="171" spans="1:17">
      <c r="A171" s="71"/>
      <c r="B171" s="71"/>
      <c r="C171" s="71"/>
      <c r="D171" s="72"/>
      <c r="E171" s="72"/>
      <c r="F171" s="32"/>
      <c r="G171" s="32"/>
      <c r="H171" s="32"/>
      <c r="I171" s="32"/>
      <c r="J171" s="32"/>
      <c r="K171" s="32"/>
      <c r="L171" s="32"/>
      <c r="M171" s="32"/>
      <c r="N171" s="32"/>
      <c r="O171" s="122"/>
      <c r="P171" s="32"/>
      <c r="Q171" s="32"/>
    </row>
    <row r="172" spans="1:17">
      <c r="A172" s="71"/>
      <c r="B172" s="71"/>
      <c r="C172" s="71"/>
      <c r="D172" s="72"/>
      <c r="E172" s="72"/>
      <c r="F172" s="32"/>
      <c r="G172" s="32"/>
      <c r="H172" s="32"/>
      <c r="I172" s="32"/>
      <c r="J172" s="32"/>
      <c r="K172" s="32"/>
      <c r="L172" s="32"/>
      <c r="M172" s="32"/>
      <c r="N172" s="32"/>
      <c r="O172" s="122"/>
      <c r="P172" s="32"/>
      <c r="Q172" s="32"/>
    </row>
    <row r="173" spans="1:17">
      <c r="A173" s="71"/>
      <c r="B173" s="71"/>
      <c r="C173" s="71"/>
      <c r="D173" s="72"/>
      <c r="E173" s="72"/>
      <c r="F173" s="32"/>
      <c r="G173" s="32"/>
      <c r="H173" s="32"/>
      <c r="I173" s="32"/>
      <c r="J173" s="32"/>
      <c r="K173" s="32"/>
      <c r="L173" s="32"/>
      <c r="M173" s="32"/>
      <c r="N173" s="32"/>
      <c r="O173" s="122"/>
      <c r="P173" s="32"/>
      <c r="Q173" s="32"/>
    </row>
    <row r="174" spans="1:17">
      <c r="A174" s="71"/>
      <c r="B174" s="71"/>
      <c r="C174" s="71"/>
      <c r="D174" s="72"/>
      <c r="E174" s="72"/>
      <c r="F174" s="32"/>
      <c r="G174" s="32"/>
      <c r="H174" s="32"/>
      <c r="I174" s="32"/>
      <c r="J174" s="32"/>
      <c r="K174" s="32"/>
      <c r="L174" s="32"/>
      <c r="M174" s="32"/>
      <c r="N174" s="32"/>
      <c r="O174" s="122"/>
      <c r="P174" s="32"/>
      <c r="Q174" s="32"/>
    </row>
    <row r="175" spans="1:17">
      <c r="A175" s="71"/>
      <c r="B175" s="71"/>
      <c r="C175" s="71"/>
      <c r="D175" s="72"/>
      <c r="E175" s="72"/>
      <c r="F175" s="32"/>
      <c r="G175" s="32"/>
      <c r="H175" s="32"/>
      <c r="I175" s="32"/>
      <c r="J175" s="32"/>
      <c r="K175" s="32"/>
      <c r="L175" s="32"/>
      <c r="M175" s="32"/>
      <c r="N175" s="32"/>
      <c r="O175" s="122"/>
      <c r="P175" s="32"/>
      <c r="Q175" s="32"/>
    </row>
    <row r="176" spans="1:17">
      <c r="A176" s="71"/>
      <c r="B176" s="71"/>
      <c r="C176" s="71"/>
      <c r="D176" s="72"/>
      <c r="E176" s="72"/>
      <c r="F176" s="32"/>
      <c r="G176" s="32"/>
      <c r="H176" s="32"/>
      <c r="I176" s="32"/>
      <c r="J176" s="32"/>
      <c r="K176" s="32"/>
      <c r="L176" s="32"/>
      <c r="M176" s="32"/>
      <c r="N176" s="32"/>
      <c r="O176" s="122"/>
      <c r="P176" s="32"/>
      <c r="Q176" s="32"/>
    </row>
    <row r="177" spans="1:17">
      <c r="A177" s="71"/>
      <c r="B177" s="71"/>
      <c r="C177" s="71"/>
      <c r="D177" s="72"/>
      <c r="E177" s="72"/>
      <c r="F177" s="32"/>
      <c r="G177" s="32"/>
      <c r="H177" s="32"/>
      <c r="I177" s="32"/>
      <c r="J177" s="32"/>
      <c r="K177" s="32"/>
      <c r="L177" s="32"/>
      <c r="M177" s="32"/>
      <c r="N177" s="32"/>
      <c r="O177" s="122"/>
      <c r="P177" s="32"/>
      <c r="Q177" s="32"/>
    </row>
    <row r="178" spans="1:17">
      <c r="A178" s="71"/>
      <c r="B178" s="71"/>
      <c r="C178" s="71"/>
      <c r="D178" s="72"/>
      <c r="E178" s="72"/>
      <c r="F178" s="32"/>
      <c r="G178" s="32"/>
      <c r="H178" s="32"/>
      <c r="I178" s="32"/>
      <c r="J178" s="32"/>
      <c r="K178" s="32"/>
      <c r="L178" s="32"/>
      <c r="M178" s="32"/>
      <c r="N178" s="32"/>
      <c r="O178" s="122"/>
      <c r="P178" s="32"/>
      <c r="Q178" s="32"/>
    </row>
    <row r="179" spans="1:17">
      <c r="A179" s="71"/>
      <c r="B179" s="71"/>
      <c r="C179" s="71"/>
      <c r="D179" s="72"/>
      <c r="E179" s="72"/>
      <c r="F179" s="32"/>
      <c r="G179" s="32"/>
      <c r="H179" s="32"/>
      <c r="I179" s="32"/>
      <c r="J179" s="32"/>
      <c r="K179" s="32"/>
      <c r="L179" s="32"/>
      <c r="M179" s="32"/>
      <c r="N179" s="32"/>
      <c r="O179" s="122"/>
      <c r="P179" s="32"/>
      <c r="Q179" s="32"/>
    </row>
    <row r="180" spans="1:17">
      <c r="A180" s="71"/>
      <c r="B180" s="71"/>
      <c r="C180" s="71"/>
      <c r="D180" s="72"/>
      <c r="E180" s="72"/>
      <c r="F180" s="32"/>
      <c r="G180" s="32"/>
      <c r="H180" s="32"/>
      <c r="I180" s="32"/>
      <c r="J180" s="32"/>
      <c r="K180" s="32"/>
      <c r="L180" s="32"/>
      <c r="M180" s="32"/>
      <c r="N180" s="32"/>
      <c r="O180" s="122"/>
      <c r="P180" s="32"/>
      <c r="Q180" s="32"/>
    </row>
    <row r="181" spans="1:17">
      <c r="A181" s="71"/>
      <c r="B181" s="71"/>
      <c r="C181" s="71"/>
      <c r="D181" s="72"/>
      <c r="E181" s="72"/>
      <c r="F181" s="32"/>
      <c r="G181" s="32"/>
      <c r="H181" s="32"/>
      <c r="I181" s="32"/>
      <c r="J181" s="32"/>
      <c r="K181" s="32"/>
      <c r="L181" s="32"/>
      <c r="M181" s="32"/>
      <c r="N181" s="32"/>
      <c r="O181" s="122"/>
      <c r="P181" s="32"/>
      <c r="Q181" s="32"/>
    </row>
    <row r="182" spans="1:17">
      <c r="A182" s="71"/>
      <c r="B182" s="71"/>
      <c r="C182" s="71"/>
      <c r="D182" s="72"/>
      <c r="E182" s="72"/>
      <c r="F182" s="32"/>
      <c r="G182" s="32"/>
      <c r="H182" s="32"/>
      <c r="I182" s="32"/>
      <c r="J182" s="32"/>
      <c r="K182" s="32"/>
      <c r="L182" s="32"/>
      <c r="M182" s="32"/>
      <c r="N182" s="32"/>
      <c r="O182" s="122"/>
      <c r="P182" s="32"/>
      <c r="Q182" s="32"/>
    </row>
    <row r="183" spans="1:17">
      <c r="A183" s="71"/>
      <c r="B183" s="71"/>
      <c r="C183" s="71"/>
      <c r="D183" s="72"/>
      <c r="E183" s="72"/>
      <c r="F183" s="32"/>
      <c r="G183" s="32"/>
      <c r="H183" s="32"/>
      <c r="I183" s="32"/>
      <c r="J183" s="32"/>
      <c r="K183" s="32"/>
      <c r="L183" s="32"/>
      <c r="M183" s="32"/>
      <c r="N183" s="32"/>
      <c r="O183" s="122"/>
      <c r="P183" s="32"/>
      <c r="Q183" s="32"/>
    </row>
    <row r="184" spans="1:17">
      <c r="A184" s="71"/>
      <c r="B184" s="71"/>
      <c r="C184" s="71"/>
      <c r="D184" s="72"/>
      <c r="E184" s="72"/>
      <c r="F184" s="32"/>
      <c r="G184" s="32"/>
      <c r="H184" s="32"/>
      <c r="I184" s="32"/>
      <c r="J184" s="32"/>
      <c r="K184" s="32"/>
      <c r="L184" s="32"/>
      <c r="M184" s="32"/>
      <c r="N184" s="32"/>
      <c r="O184" s="122"/>
      <c r="P184" s="32"/>
      <c r="Q184" s="32"/>
    </row>
    <row r="185" spans="1:17">
      <c r="A185" s="71"/>
      <c r="B185" s="71"/>
      <c r="C185" s="71"/>
      <c r="D185" s="72"/>
      <c r="E185" s="72"/>
      <c r="F185" s="32"/>
      <c r="G185" s="32"/>
      <c r="H185" s="32"/>
      <c r="I185" s="32"/>
      <c r="J185" s="32"/>
      <c r="K185" s="32"/>
      <c r="L185" s="32"/>
      <c r="M185" s="32"/>
      <c r="N185" s="32"/>
      <c r="O185" s="122"/>
      <c r="P185" s="32"/>
      <c r="Q185" s="32"/>
    </row>
    <row r="186" spans="1:17">
      <c r="A186" s="71"/>
      <c r="B186" s="71"/>
      <c r="C186" s="71"/>
      <c r="D186" s="72"/>
      <c r="E186" s="72"/>
      <c r="F186" s="32"/>
      <c r="G186" s="32"/>
      <c r="H186" s="32"/>
      <c r="I186" s="32"/>
      <c r="J186" s="32"/>
      <c r="K186" s="32"/>
      <c r="L186" s="32"/>
      <c r="M186" s="32"/>
      <c r="N186" s="32"/>
      <c r="O186" s="122"/>
      <c r="P186" s="32"/>
      <c r="Q186" s="32"/>
    </row>
    <row r="187" spans="1:17">
      <c r="A187" s="71"/>
      <c r="B187" s="71"/>
      <c r="C187" s="71"/>
      <c r="D187" s="72"/>
      <c r="E187" s="72"/>
      <c r="F187" s="32"/>
      <c r="G187" s="32"/>
      <c r="H187" s="32"/>
      <c r="I187" s="32"/>
      <c r="J187" s="32"/>
      <c r="K187" s="32"/>
      <c r="L187" s="32"/>
      <c r="M187" s="32"/>
      <c r="N187" s="32"/>
      <c r="O187" s="122"/>
      <c r="P187" s="32"/>
      <c r="Q187" s="32"/>
    </row>
    <row r="188" spans="1:17">
      <c r="A188" s="71"/>
      <c r="B188" s="71"/>
      <c r="C188" s="71"/>
      <c r="D188" s="72"/>
      <c r="E188" s="72"/>
      <c r="F188" s="32"/>
      <c r="G188" s="32"/>
      <c r="H188" s="32"/>
      <c r="I188" s="32"/>
      <c r="J188" s="32"/>
      <c r="K188" s="32"/>
      <c r="L188" s="32"/>
      <c r="M188" s="32"/>
      <c r="N188" s="32"/>
      <c r="O188" s="122"/>
      <c r="P188" s="32"/>
      <c r="Q188" s="32"/>
    </row>
    <row r="189" spans="1:17">
      <c r="A189" s="71"/>
      <c r="B189" s="71"/>
      <c r="C189" s="71"/>
      <c r="D189" s="72"/>
      <c r="E189" s="72"/>
      <c r="F189" s="32"/>
      <c r="G189" s="32"/>
      <c r="H189" s="32"/>
      <c r="I189" s="32"/>
      <c r="J189" s="32"/>
      <c r="K189" s="32"/>
      <c r="L189" s="32"/>
      <c r="M189" s="32"/>
      <c r="N189" s="32"/>
      <c r="O189" s="122"/>
      <c r="P189" s="32"/>
      <c r="Q189" s="32"/>
    </row>
    <row r="190" spans="1:17">
      <c r="A190" s="71"/>
      <c r="B190" s="71"/>
      <c r="C190" s="71"/>
      <c r="D190" s="72"/>
      <c r="E190" s="72"/>
      <c r="F190" s="32"/>
      <c r="G190" s="32"/>
      <c r="H190" s="32"/>
      <c r="I190" s="32"/>
      <c r="J190" s="32"/>
      <c r="K190" s="32"/>
      <c r="L190" s="32"/>
      <c r="M190" s="32"/>
      <c r="N190" s="32"/>
      <c r="O190" s="122"/>
      <c r="P190" s="32"/>
      <c r="Q190" s="32"/>
    </row>
    <row r="191" spans="1:17">
      <c r="A191" s="71"/>
      <c r="B191" s="71"/>
      <c r="C191" s="71"/>
      <c r="D191" s="72"/>
      <c r="E191" s="72"/>
      <c r="F191" s="32"/>
      <c r="G191" s="32"/>
      <c r="H191" s="32"/>
      <c r="I191" s="32"/>
      <c r="J191" s="32"/>
      <c r="K191" s="32"/>
      <c r="L191" s="32"/>
      <c r="M191" s="32"/>
      <c r="N191" s="32"/>
      <c r="O191" s="122"/>
      <c r="P191" s="32"/>
      <c r="Q191" s="32"/>
    </row>
    <row r="192" spans="1:17">
      <c r="A192" s="71"/>
      <c r="B192" s="71"/>
      <c r="C192" s="71"/>
      <c r="D192" s="72"/>
      <c r="E192" s="72"/>
      <c r="F192" s="32"/>
      <c r="G192" s="32"/>
      <c r="H192" s="32"/>
      <c r="I192" s="32"/>
      <c r="J192" s="32"/>
      <c r="K192" s="32"/>
      <c r="L192" s="32"/>
      <c r="M192" s="32"/>
      <c r="N192" s="32"/>
      <c r="O192" s="122"/>
      <c r="P192" s="32"/>
      <c r="Q192" s="32"/>
    </row>
    <row r="193" spans="1:17">
      <c r="A193" s="71"/>
      <c r="B193" s="71"/>
      <c r="C193" s="71"/>
      <c r="D193" s="72"/>
      <c r="E193" s="72"/>
      <c r="F193" s="32"/>
      <c r="G193" s="32"/>
      <c r="H193" s="32"/>
      <c r="I193" s="32"/>
      <c r="J193" s="32"/>
      <c r="K193" s="32"/>
      <c r="L193" s="32"/>
      <c r="M193" s="32"/>
      <c r="N193" s="32"/>
      <c r="O193" s="122"/>
      <c r="P193" s="32"/>
      <c r="Q193" s="32"/>
    </row>
    <row r="194" spans="1:17">
      <c r="A194" s="71"/>
      <c r="B194" s="71"/>
      <c r="C194" s="71"/>
      <c r="D194" s="72"/>
      <c r="E194" s="72"/>
      <c r="F194" s="32"/>
      <c r="G194" s="32"/>
      <c r="H194" s="32"/>
      <c r="I194" s="32"/>
      <c r="J194" s="32"/>
      <c r="K194" s="32"/>
      <c r="L194" s="32"/>
      <c r="M194" s="32"/>
      <c r="N194" s="32"/>
      <c r="O194" s="122"/>
      <c r="P194" s="32"/>
      <c r="Q194" s="32"/>
    </row>
    <row r="195" spans="1:17">
      <c r="A195" s="71"/>
      <c r="B195" s="71"/>
      <c r="C195" s="71"/>
      <c r="D195" s="72"/>
      <c r="E195" s="72"/>
      <c r="F195" s="32"/>
      <c r="G195" s="32"/>
      <c r="H195" s="32"/>
      <c r="I195" s="32"/>
      <c r="J195" s="32"/>
      <c r="K195" s="32"/>
      <c r="L195" s="32"/>
      <c r="M195" s="32"/>
      <c r="N195" s="32"/>
      <c r="O195" s="122"/>
      <c r="P195" s="32"/>
      <c r="Q195" s="32"/>
    </row>
    <row r="196" spans="1:17">
      <c r="A196" s="71"/>
      <c r="B196" s="71"/>
      <c r="C196" s="71"/>
      <c r="D196" s="72"/>
      <c r="E196" s="72"/>
      <c r="F196" s="32"/>
      <c r="G196" s="32"/>
      <c r="H196" s="32"/>
      <c r="I196" s="32"/>
      <c r="J196" s="32"/>
      <c r="K196" s="32"/>
      <c r="L196" s="32"/>
      <c r="M196" s="32"/>
      <c r="N196" s="32"/>
      <c r="O196" s="122"/>
      <c r="P196" s="32"/>
      <c r="Q196" s="32"/>
    </row>
    <row r="197" spans="1:17">
      <c r="A197" s="71"/>
      <c r="B197" s="71"/>
      <c r="C197" s="71"/>
      <c r="D197" s="72"/>
      <c r="E197" s="72"/>
      <c r="F197" s="32"/>
      <c r="G197" s="32"/>
      <c r="H197" s="32"/>
      <c r="I197" s="32"/>
      <c r="J197" s="32"/>
      <c r="K197" s="32"/>
      <c r="L197" s="32"/>
      <c r="M197" s="32"/>
      <c r="N197" s="32"/>
      <c r="O197" s="122"/>
      <c r="P197" s="32"/>
      <c r="Q197" s="32"/>
    </row>
    <row r="198" spans="1:17">
      <c r="A198" s="71"/>
      <c r="B198" s="71"/>
      <c r="C198" s="71"/>
      <c r="D198" s="72"/>
      <c r="E198" s="72"/>
      <c r="F198" s="32"/>
      <c r="G198" s="32"/>
      <c r="H198" s="32"/>
      <c r="I198" s="32"/>
      <c r="J198" s="32"/>
      <c r="K198" s="32"/>
      <c r="L198" s="32"/>
      <c r="M198" s="32"/>
      <c r="N198" s="32"/>
      <c r="O198" s="122"/>
      <c r="P198" s="32"/>
      <c r="Q198" s="32"/>
    </row>
    <row r="199" spans="1:17">
      <c r="A199" s="71"/>
      <c r="B199" s="71"/>
      <c r="C199" s="71"/>
      <c r="D199" s="72"/>
      <c r="E199" s="72"/>
      <c r="F199" s="32"/>
      <c r="G199" s="32"/>
      <c r="H199" s="32"/>
      <c r="I199" s="32"/>
      <c r="J199" s="32"/>
      <c r="K199" s="32"/>
      <c r="L199" s="32"/>
      <c r="M199" s="32"/>
      <c r="N199" s="32"/>
      <c r="O199" s="122"/>
      <c r="P199" s="32"/>
      <c r="Q199" s="32"/>
    </row>
    <row r="200" spans="1:17">
      <c r="A200" s="71"/>
      <c r="B200" s="71"/>
      <c r="C200" s="71"/>
      <c r="D200" s="72"/>
      <c r="E200" s="72"/>
      <c r="F200" s="32"/>
      <c r="G200" s="32"/>
      <c r="H200" s="32"/>
      <c r="I200" s="32"/>
      <c r="J200" s="32"/>
      <c r="K200" s="32"/>
      <c r="L200" s="32"/>
      <c r="M200" s="32"/>
      <c r="N200" s="32"/>
      <c r="O200" s="122"/>
      <c r="P200" s="32"/>
      <c r="Q200" s="32"/>
    </row>
    <row r="201" spans="1:17">
      <c r="A201" s="71"/>
      <c r="B201" s="71"/>
      <c r="C201" s="71"/>
      <c r="D201" s="72"/>
      <c r="E201" s="72"/>
      <c r="F201" s="32"/>
      <c r="G201" s="32"/>
      <c r="H201" s="32"/>
      <c r="I201" s="32"/>
      <c r="J201" s="32"/>
      <c r="K201" s="32"/>
      <c r="L201" s="32"/>
      <c r="M201" s="32"/>
      <c r="N201" s="32"/>
      <c r="O201" s="122"/>
      <c r="P201" s="32"/>
      <c r="Q201" s="32"/>
    </row>
    <row r="202" spans="1:17">
      <c r="A202" s="71"/>
      <c r="B202" s="71"/>
      <c r="C202" s="71"/>
      <c r="D202" s="72"/>
      <c r="E202" s="72"/>
      <c r="F202" s="32"/>
      <c r="G202" s="32"/>
      <c r="H202" s="32"/>
      <c r="I202" s="32"/>
      <c r="J202" s="32"/>
      <c r="K202" s="32"/>
      <c r="L202" s="32"/>
      <c r="M202" s="32"/>
      <c r="N202" s="32"/>
      <c r="O202" s="122"/>
      <c r="P202" s="32"/>
      <c r="Q202" s="32"/>
    </row>
    <row r="203" spans="1:17">
      <c r="A203" s="71"/>
      <c r="B203" s="71"/>
      <c r="C203" s="71"/>
      <c r="D203" s="72"/>
      <c r="E203" s="72"/>
      <c r="F203" s="32"/>
      <c r="G203" s="32"/>
      <c r="H203" s="32"/>
      <c r="I203" s="32"/>
      <c r="J203" s="32"/>
      <c r="K203" s="32"/>
      <c r="L203" s="32"/>
      <c r="M203" s="32"/>
      <c r="N203" s="32"/>
      <c r="O203" s="122"/>
      <c r="P203" s="32"/>
      <c r="Q203" s="32"/>
    </row>
    <row r="204" spans="1:17">
      <c r="A204" s="71"/>
      <c r="B204" s="71"/>
      <c r="C204" s="71"/>
      <c r="D204" s="72"/>
      <c r="E204" s="72"/>
      <c r="F204" s="32"/>
      <c r="G204" s="32"/>
      <c r="H204" s="32"/>
      <c r="I204" s="32"/>
      <c r="J204" s="32"/>
      <c r="K204" s="32"/>
      <c r="L204" s="32"/>
      <c r="M204" s="32"/>
      <c r="N204" s="32"/>
      <c r="O204" s="122"/>
      <c r="P204" s="32"/>
      <c r="Q204" s="32"/>
    </row>
    <row r="205" spans="1:17">
      <c r="A205" s="71"/>
      <c r="B205" s="71"/>
      <c r="C205" s="71"/>
      <c r="D205" s="72"/>
      <c r="E205" s="72"/>
      <c r="F205" s="32"/>
      <c r="G205" s="32"/>
      <c r="H205" s="32"/>
      <c r="I205" s="32"/>
      <c r="J205" s="32"/>
      <c r="K205" s="32"/>
      <c r="L205" s="32"/>
      <c r="M205" s="32"/>
      <c r="N205" s="32"/>
      <c r="O205" s="122"/>
      <c r="P205" s="32"/>
      <c r="Q205" s="32"/>
    </row>
    <row r="206" spans="1:17">
      <c r="A206" s="71"/>
      <c r="B206" s="71"/>
      <c r="C206" s="71"/>
      <c r="D206" s="72"/>
      <c r="E206" s="72"/>
      <c r="F206" s="32"/>
      <c r="G206" s="32"/>
      <c r="H206" s="32"/>
      <c r="I206" s="32"/>
      <c r="J206" s="32"/>
      <c r="K206" s="32"/>
      <c r="L206" s="32"/>
      <c r="M206" s="32"/>
      <c r="N206" s="32"/>
      <c r="O206" s="122"/>
      <c r="P206" s="32"/>
      <c r="Q206" s="32"/>
    </row>
    <row r="207" spans="1:17">
      <c r="A207" s="71"/>
      <c r="B207" s="71"/>
      <c r="C207" s="71"/>
      <c r="D207" s="72"/>
      <c r="E207" s="72"/>
      <c r="F207" s="32"/>
      <c r="G207" s="32"/>
      <c r="H207" s="32"/>
      <c r="I207" s="32"/>
      <c r="J207" s="32"/>
      <c r="K207" s="32"/>
      <c r="L207" s="32"/>
      <c r="M207" s="32"/>
      <c r="N207" s="32"/>
      <c r="O207" s="122"/>
      <c r="P207" s="32"/>
      <c r="Q207" s="32"/>
    </row>
    <row r="208" spans="1:17">
      <c r="A208" s="71"/>
      <c r="B208" s="71"/>
      <c r="C208" s="71"/>
      <c r="D208" s="72"/>
      <c r="E208" s="72"/>
      <c r="F208" s="32"/>
      <c r="G208" s="32"/>
      <c r="H208" s="32"/>
      <c r="I208" s="32"/>
      <c r="J208" s="32"/>
      <c r="K208" s="32"/>
      <c r="L208" s="32"/>
      <c r="M208" s="32"/>
      <c r="N208" s="32"/>
      <c r="O208" s="122"/>
      <c r="P208" s="32"/>
      <c r="Q208" s="32"/>
    </row>
    <row r="209" spans="1:17">
      <c r="A209" s="71"/>
      <c r="B209" s="71"/>
      <c r="C209" s="71"/>
      <c r="D209" s="72"/>
      <c r="E209" s="72"/>
      <c r="F209" s="32"/>
      <c r="G209" s="32"/>
      <c r="H209" s="32"/>
      <c r="I209" s="32"/>
      <c r="J209" s="32"/>
      <c r="K209" s="32"/>
      <c r="L209" s="32"/>
      <c r="M209" s="32"/>
      <c r="N209" s="32"/>
      <c r="O209" s="122"/>
      <c r="P209" s="32"/>
      <c r="Q209" s="32"/>
    </row>
    <row r="210" spans="1:17">
      <c r="A210" s="71"/>
      <c r="B210" s="71"/>
      <c r="C210" s="71"/>
      <c r="D210" s="72"/>
      <c r="E210" s="72"/>
      <c r="F210" s="32"/>
      <c r="G210" s="32"/>
      <c r="H210" s="32"/>
      <c r="I210" s="32"/>
      <c r="J210" s="32"/>
      <c r="K210" s="32"/>
      <c r="L210" s="32"/>
      <c r="M210" s="32"/>
      <c r="N210" s="32"/>
      <c r="O210" s="122"/>
      <c r="P210" s="32"/>
      <c r="Q210" s="32"/>
    </row>
    <row r="211" spans="1:17">
      <c r="A211" s="71"/>
      <c r="B211" s="71"/>
      <c r="C211" s="71"/>
      <c r="D211" s="72"/>
      <c r="E211" s="72"/>
      <c r="F211" s="32"/>
      <c r="G211" s="32"/>
      <c r="H211" s="32"/>
      <c r="I211" s="32"/>
      <c r="J211" s="32"/>
      <c r="K211" s="32"/>
      <c r="L211" s="32"/>
      <c r="M211" s="32"/>
      <c r="N211" s="32"/>
      <c r="O211" s="122"/>
      <c r="P211" s="32"/>
      <c r="Q211" s="32"/>
    </row>
    <row r="212" spans="1:17">
      <c r="A212" s="71"/>
      <c r="B212" s="71"/>
      <c r="C212" s="71"/>
      <c r="D212" s="72"/>
      <c r="E212" s="72"/>
      <c r="F212" s="32"/>
      <c r="G212" s="32"/>
      <c r="H212" s="32"/>
      <c r="I212" s="32"/>
      <c r="J212" s="32"/>
      <c r="K212" s="32"/>
      <c r="L212" s="32"/>
      <c r="M212" s="32"/>
      <c r="N212" s="32"/>
      <c r="O212" s="122"/>
      <c r="P212" s="32"/>
      <c r="Q212" s="32"/>
    </row>
    <row r="213" spans="1:17">
      <c r="A213" s="71"/>
      <c r="B213" s="71"/>
      <c r="C213" s="71"/>
      <c r="D213" s="72"/>
      <c r="E213" s="72"/>
      <c r="F213" s="32"/>
      <c r="G213" s="32"/>
      <c r="H213" s="32"/>
      <c r="I213" s="32"/>
      <c r="J213" s="32"/>
      <c r="K213" s="32"/>
      <c r="L213" s="32"/>
      <c r="M213" s="32"/>
      <c r="N213" s="32"/>
      <c r="O213" s="122"/>
      <c r="P213" s="32"/>
      <c r="Q213" s="32"/>
    </row>
    <row r="214" spans="1:17">
      <c r="A214" s="71"/>
      <c r="B214" s="71"/>
      <c r="C214" s="71"/>
      <c r="D214" s="72"/>
      <c r="E214" s="72"/>
      <c r="F214" s="32"/>
      <c r="G214" s="32"/>
      <c r="H214" s="32"/>
      <c r="I214" s="32"/>
      <c r="J214" s="32"/>
      <c r="K214" s="32"/>
      <c r="L214" s="32"/>
      <c r="M214" s="32"/>
      <c r="N214" s="32"/>
      <c r="O214" s="122"/>
      <c r="P214" s="32"/>
      <c r="Q214" s="32"/>
    </row>
    <row r="215" spans="1:17">
      <c r="A215" s="71"/>
      <c r="B215" s="71"/>
      <c r="C215" s="71"/>
      <c r="D215" s="72"/>
      <c r="E215" s="72"/>
      <c r="F215" s="32"/>
      <c r="G215" s="32"/>
      <c r="H215" s="32"/>
      <c r="I215" s="32"/>
      <c r="J215" s="32"/>
      <c r="K215" s="32"/>
      <c r="L215" s="32"/>
      <c r="M215" s="32"/>
      <c r="N215" s="32"/>
      <c r="O215" s="122"/>
      <c r="P215" s="32"/>
      <c r="Q215" s="32"/>
    </row>
    <row r="216" spans="1:17">
      <c r="A216" s="71"/>
      <c r="B216" s="71"/>
      <c r="C216" s="71"/>
      <c r="D216" s="72"/>
      <c r="E216" s="72"/>
      <c r="F216" s="32"/>
      <c r="G216" s="32"/>
      <c r="H216" s="32"/>
      <c r="I216" s="32"/>
      <c r="J216" s="32"/>
      <c r="K216" s="32"/>
      <c r="L216" s="32"/>
      <c r="M216" s="32"/>
      <c r="N216" s="32"/>
      <c r="O216" s="122"/>
      <c r="P216" s="32"/>
      <c r="Q216" s="32"/>
    </row>
    <row r="217" spans="1:17">
      <c r="A217" s="71"/>
      <c r="B217" s="71"/>
      <c r="C217" s="71"/>
      <c r="D217" s="72"/>
      <c r="E217" s="72"/>
      <c r="F217" s="32"/>
      <c r="G217" s="32"/>
      <c r="H217" s="32"/>
      <c r="I217" s="32"/>
      <c r="J217" s="32"/>
      <c r="K217" s="32"/>
      <c r="L217" s="32"/>
      <c r="M217" s="32"/>
      <c r="N217" s="32"/>
      <c r="O217" s="122"/>
      <c r="P217" s="32"/>
      <c r="Q217" s="32"/>
    </row>
    <row r="218" spans="1:17">
      <c r="A218" s="71"/>
      <c r="B218" s="71"/>
      <c r="C218" s="71"/>
      <c r="D218" s="72"/>
      <c r="E218" s="72"/>
      <c r="F218" s="32"/>
      <c r="G218" s="32"/>
      <c r="H218" s="32"/>
      <c r="I218" s="32"/>
      <c r="J218" s="32"/>
      <c r="K218" s="32"/>
      <c r="L218" s="32"/>
      <c r="M218" s="32"/>
      <c r="N218" s="32"/>
      <c r="O218" s="122"/>
      <c r="P218" s="32"/>
      <c r="Q218" s="32"/>
    </row>
    <row r="219" spans="1:17">
      <c r="A219" s="71"/>
      <c r="B219" s="71"/>
      <c r="C219" s="71"/>
      <c r="D219" s="72"/>
      <c r="E219" s="72"/>
      <c r="F219" s="32"/>
      <c r="G219" s="32"/>
      <c r="H219" s="32"/>
      <c r="I219" s="32"/>
      <c r="J219" s="32"/>
      <c r="K219" s="32"/>
      <c r="L219" s="32"/>
      <c r="M219" s="32"/>
      <c r="N219" s="32"/>
      <c r="O219" s="122"/>
      <c r="P219" s="32"/>
      <c r="Q219" s="32"/>
    </row>
    <row r="220" spans="1:17">
      <c r="A220" s="71"/>
      <c r="B220" s="71"/>
      <c r="C220" s="71"/>
      <c r="D220" s="72"/>
      <c r="E220" s="72"/>
      <c r="F220" s="32"/>
      <c r="G220" s="32"/>
      <c r="H220" s="32"/>
      <c r="I220" s="32"/>
      <c r="J220" s="32"/>
      <c r="K220" s="32"/>
      <c r="L220" s="32"/>
      <c r="M220" s="32"/>
      <c r="N220" s="32"/>
      <c r="O220" s="122"/>
      <c r="P220" s="32"/>
      <c r="Q220" s="32"/>
    </row>
    <row r="221" spans="1:17">
      <c r="A221" s="71"/>
      <c r="B221" s="71"/>
      <c r="C221" s="71"/>
      <c r="D221" s="72"/>
      <c r="E221" s="72"/>
      <c r="F221" s="32"/>
      <c r="G221" s="32"/>
      <c r="H221" s="32"/>
      <c r="I221" s="32"/>
      <c r="J221" s="32"/>
      <c r="K221" s="32"/>
      <c r="L221" s="32"/>
      <c r="M221" s="32"/>
      <c r="N221" s="32"/>
      <c r="O221" s="122"/>
      <c r="P221" s="32"/>
      <c r="Q221" s="32"/>
    </row>
    <row r="222" spans="1:17">
      <c r="A222" s="71"/>
      <c r="B222" s="71"/>
      <c r="C222" s="71"/>
      <c r="D222" s="72"/>
      <c r="E222" s="72"/>
      <c r="F222" s="32"/>
      <c r="G222" s="32"/>
      <c r="H222" s="32"/>
      <c r="I222" s="32"/>
      <c r="J222" s="32"/>
      <c r="K222" s="32"/>
      <c r="L222" s="32"/>
      <c r="M222" s="32"/>
      <c r="N222" s="32"/>
      <c r="O222" s="122"/>
      <c r="P222" s="32"/>
      <c r="Q222" s="32"/>
    </row>
    <row r="223" spans="1:17">
      <c r="A223" s="71"/>
      <c r="B223" s="71"/>
      <c r="C223" s="71"/>
      <c r="D223" s="72"/>
      <c r="E223" s="72"/>
      <c r="F223" s="32"/>
      <c r="G223" s="32"/>
      <c r="H223" s="32"/>
      <c r="I223" s="32"/>
      <c r="J223" s="32"/>
      <c r="K223" s="32"/>
      <c r="L223" s="32"/>
      <c r="M223" s="32"/>
      <c r="N223" s="32"/>
      <c r="O223" s="122"/>
      <c r="P223" s="32"/>
      <c r="Q223" s="32"/>
    </row>
    <row r="224" spans="1:17">
      <c r="A224" s="71"/>
      <c r="B224" s="71"/>
      <c r="C224" s="71"/>
      <c r="D224" s="72"/>
      <c r="E224" s="72"/>
      <c r="F224" s="32"/>
      <c r="G224" s="32"/>
      <c r="H224" s="32"/>
      <c r="I224" s="32"/>
      <c r="J224" s="32"/>
      <c r="K224" s="32"/>
      <c r="L224" s="32"/>
      <c r="M224" s="32"/>
      <c r="N224" s="32"/>
      <c r="O224" s="122"/>
      <c r="P224" s="32"/>
      <c r="Q224" s="32"/>
    </row>
    <row r="225" spans="1:17">
      <c r="A225" s="71"/>
      <c r="B225" s="71"/>
      <c r="C225" s="71"/>
      <c r="D225" s="72"/>
      <c r="E225" s="72"/>
      <c r="F225" s="32"/>
      <c r="G225" s="32"/>
      <c r="H225" s="32"/>
      <c r="I225" s="32"/>
      <c r="J225" s="32"/>
      <c r="K225" s="32"/>
      <c r="L225" s="32"/>
      <c r="M225" s="32"/>
      <c r="N225" s="32"/>
      <c r="O225" s="122"/>
      <c r="P225" s="32"/>
      <c r="Q225" s="32"/>
    </row>
    <row r="226" spans="1:17">
      <c r="A226" s="71"/>
      <c r="B226" s="71"/>
      <c r="C226" s="71"/>
      <c r="D226" s="72"/>
      <c r="E226" s="72"/>
      <c r="F226" s="32"/>
      <c r="G226" s="32"/>
      <c r="H226" s="32"/>
      <c r="I226" s="32"/>
      <c r="J226" s="32"/>
      <c r="K226" s="32"/>
      <c r="L226" s="32"/>
      <c r="M226" s="32"/>
      <c r="N226" s="32"/>
      <c r="O226" s="122"/>
      <c r="P226" s="32"/>
      <c r="Q226" s="32"/>
    </row>
    <row r="227" spans="1:17">
      <c r="A227" s="71"/>
      <c r="B227" s="71"/>
      <c r="C227" s="71"/>
      <c r="D227" s="72"/>
      <c r="E227" s="72"/>
      <c r="F227" s="32"/>
      <c r="G227" s="32"/>
      <c r="H227" s="32"/>
      <c r="I227" s="32"/>
      <c r="J227" s="32"/>
      <c r="K227" s="32"/>
      <c r="L227" s="32"/>
      <c r="M227" s="32"/>
      <c r="N227" s="32"/>
      <c r="O227" s="122"/>
      <c r="P227" s="32"/>
      <c r="Q227" s="32"/>
    </row>
    <row r="228" spans="1:17">
      <c r="A228" s="71"/>
      <c r="B228" s="71"/>
      <c r="C228" s="71"/>
      <c r="D228" s="72"/>
      <c r="E228" s="72"/>
      <c r="F228" s="32"/>
      <c r="G228" s="32"/>
      <c r="H228" s="32"/>
      <c r="I228" s="32"/>
      <c r="J228" s="32"/>
      <c r="K228" s="32"/>
      <c r="L228" s="32"/>
      <c r="M228" s="32"/>
      <c r="N228" s="32"/>
      <c r="O228" s="122"/>
      <c r="P228" s="32"/>
      <c r="Q228" s="32"/>
    </row>
    <row r="229" spans="1:17">
      <c r="A229" s="71"/>
      <c r="B229" s="71"/>
      <c r="C229" s="71"/>
      <c r="D229" s="72"/>
      <c r="E229" s="72"/>
      <c r="F229" s="32"/>
      <c r="G229" s="32"/>
      <c r="H229" s="32"/>
      <c r="I229" s="32"/>
      <c r="J229" s="32"/>
      <c r="K229" s="32"/>
      <c r="L229" s="32"/>
      <c r="M229" s="32"/>
      <c r="N229" s="32"/>
      <c r="O229" s="122"/>
      <c r="P229" s="32"/>
      <c r="Q229" s="32"/>
    </row>
    <row r="230" spans="1:17">
      <c r="A230" s="71"/>
      <c r="B230" s="71"/>
      <c r="C230" s="71"/>
      <c r="D230" s="72"/>
      <c r="E230" s="72"/>
      <c r="F230" s="32"/>
      <c r="G230" s="32"/>
      <c r="H230" s="32"/>
      <c r="I230" s="32"/>
      <c r="J230" s="32"/>
      <c r="K230" s="32"/>
      <c r="L230" s="32"/>
      <c r="M230" s="32"/>
      <c r="N230" s="32"/>
      <c r="O230" s="122"/>
      <c r="P230" s="32"/>
      <c r="Q230" s="32"/>
    </row>
    <row r="231" spans="1:17">
      <c r="A231" s="71"/>
      <c r="B231" s="71"/>
      <c r="C231" s="71"/>
      <c r="D231" s="72"/>
      <c r="E231" s="72"/>
      <c r="F231" s="32"/>
      <c r="G231" s="32"/>
      <c r="H231" s="32"/>
      <c r="I231" s="32"/>
      <c r="J231" s="32"/>
      <c r="K231" s="32"/>
      <c r="L231" s="32"/>
      <c r="M231" s="32"/>
      <c r="N231" s="32"/>
      <c r="O231" s="122"/>
      <c r="P231" s="32"/>
      <c r="Q231" s="32"/>
    </row>
    <row r="232" spans="1:17">
      <c r="A232" s="71"/>
      <c r="B232" s="71"/>
      <c r="C232" s="71"/>
      <c r="D232" s="72"/>
      <c r="E232" s="72"/>
      <c r="F232" s="32"/>
      <c r="G232" s="32"/>
      <c r="H232" s="32"/>
      <c r="I232" s="32"/>
      <c r="J232" s="32"/>
      <c r="K232" s="32"/>
      <c r="L232" s="32"/>
      <c r="M232" s="32"/>
      <c r="N232" s="32"/>
      <c r="O232" s="122"/>
      <c r="P232" s="32"/>
      <c r="Q232" s="32"/>
    </row>
    <row r="233" spans="1:17">
      <c r="A233" s="71"/>
      <c r="B233" s="71"/>
      <c r="C233" s="71"/>
      <c r="D233" s="72"/>
      <c r="E233" s="72"/>
      <c r="F233" s="32"/>
      <c r="G233" s="32"/>
      <c r="H233" s="32"/>
      <c r="I233" s="32"/>
      <c r="J233" s="32"/>
      <c r="K233" s="32"/>
      <c r="L233" s="32"/>
      <c r="M233" s="32"/>
      <c r="N233" s="32"/>
      <c r="O233" s="122"/>
      <c r="P233" s="32"/>
      <c r="Q233" s="32"/>
    </row>
    <row r="234" spans="1:17">
      <c r="A234" s="71"/>
      <c r="B234" s="71"/>
      <c r="C234" s="71"/>
      <c r="D234" s="72"/>
      <c r="E234" s="72"/>
      <c r="F234" s="32"/>
      <c r="G234" s="32"/>
      <c r="H234" s="32"/>
      <c r="I234" s="32"/>
      <c r="J234" s="32"/>
      <c r="K234" s="32"/>
      <c r="L234" s="32"/>
      <c r="M234" s="32"/>
      <c r="N234" s="32"/>
      <c r="O234" s="122"/>
      <c r="P234" s="32"/>
      <c r="Q234" s="32"/>
    </row>
    <row r="235" spans="1:17">
      <c r="A235" s="71"/>
      <c r="B235" s="71"/>
      <c r="C235" s="71"/>
      <c r="D235" s="72"/>
      <c r="E235" s="72"/>
      <c r="F235" s="32"/>
      <c r="G235" s="32"/>
      <c r="H235" s="32"/>
      <c r="I235" s="32"/>
      <c r="J235" s="32"/>
      <c r="K235" s="32"/>
      <c r="L235" s="32"/>
      <c r="M235" s="32"/>
      <c r="N235" s="32"/>
      <c r="O235" s="122"/>
      <c r="P235" s="32"/>
      <c r="Q235" s="32"/>
    </row>
    <row r="236" spans="1:17">
      <c r="A236" s="71"/>
      <c r="B236" s="71"/>
      <c r="C236" s="71"/>
      <c r="D236" s="72"/>
      <c r="E236" s="72"/>
      <c r="F236" s="32"/>
      <c r="G236" s="32"/>
      <c r="H236" s="32"/>
      <c r="I236" s="32"/>
      <c r="J236" s="32"/>
      <c r="K236" s="32"/>
      <c r="L236" s="32"/>
      <c r="M236" s="32"/>
      <c r="N236" s="32"/>
      <c r="O236" s="122"/>
      <c r="P236" s="32"/>
      <c r="Q236" s="32"/>
    </row>
    <row r="237" spans="1:17">
      <c r="A237" s="71"/>
      <c r="B237" s="71"/>
      <c r="C237" s="71"/>
      <c r="D237" s="72"/>
      <c r="E237" s="72"/>
      <c r="F237" s="32"/>
      <c r="G237" s="32"/>
      <c r="H237" s="32"/>
      <c r="I237" s="32"/>
      <c r="J237" s="32"/>
      <c r="K237" s="32"/>
      <c r="L237" s="32"/>
      <c r="M237" s="32"/>
      <c r="N237" s="32"/>
      <c r="O237" s="122"/>
      <c r="P237" s="32"/>
      <c r="Q237" s="32"/>
    </row>
    <row r="238" spans="1:17">
      <c r="A238" s="71"/>
      <c r="B238" s="71"/>
      <c r="C238" s="71"/>
      <c r="D238" s="72"/>
      <c r="E238" s="72"/>
      <c r="F238" s="32"/>
      <c r="G238" s="32"/>
      <c r="H238" s="32"/>
      <c r="I238" s="32"/>
      <c r="J238" s="32"/>
      <c r="K238" s="32"/>
      <c r="L238" s="32"/>
      <c r="M238" s="32"/>
      <c r="N238" s="32"/>
      <c r="O238" s="122"/>
      <c r="P238" s="32"/>
      <c r="Q238" s="32"/>
    </row>
    <row r="239" spans="1:17">
      <c r="A239" s="71"/>
      <c r="B239" s="71"/>
      <c r="C239" s="71"/>
      <c r="D239" s="72"/>
      <c r="E239" s="72"/>
      <c r="F239" s="32"/>
      <c r="G239" s="32"/>
      <c r="H239" s="32"/>
      <c r="I239" s="32"/>
      <c r="J239" s="32"/>
      <c r="K239" s="32"/>
      <c r="L239" s="32"/>
      <c r="M239" s="32"/>
      <c r="N239" s="32"/>
      <c r="O239" s="122"/>
      <c r="P239" s="32"/>
      <c r="Q239" s="32"/>
    </row>
    <row r="240" spans="1:17">
      <c r="A240" s="71"/>
      <c r="B240" s="71"/>
      <c r="C240" s="71"/>
      <c r="D240" s="72"/>
      <c r="E240" s="72"/>
      <c r="F240" s="32"/>
      <c r="G240" s="32"/>
      <c r="H240" s="32"/>
      <c r="I240" s="32"/>
      <c r="J240" s="32"/>
      <c r="K240" s="32"/>
      <c r="L240" s="32"/>
      <c r="M240" s="32"/>
      <c r="N240" s="32"/>
      <c r="O240" s="122"/>
      <c r="P240" s="32"/>
      <c r="Q240" s="32"/>
    </row>
    <row r="241" spans="1:17">
      <c r="A241" s="71"/>
      <c r="B241" s="71"/>
      <c r="C241" s="71"/>
      <c r="D241" s="72"/>
      <c r="E241" s="72"/>
      <c r="F241" s="32"/>
      <c r="G241" s="32"/>
      <c r="H241" s="32"/>
      <c r="I241" s="32"/>
      <c r="J241" s="32"/>
      <c r="K241" s="32"/>
      <c r="L241" s="32"/>
      <c r="M241" s="32"/>
      <c r="N241" s="32"/>
      <c r="O241" s="122"/>
      <c r="P241" s="32"/>
      <c r="Q241" s="32"/>
    </row>
    <row r="242" spans="1:17">
      <c r="A242" s="71"/>
      <c r="B242" s="71"/>
      <c r="C242" s="71"/>
      <c r="D242" s="72"/>
      <c r="E242" s="72"/>
      <c r="F242" s="32"/>
      <c r="G242" s="32"/>
      <c r="H242" s="32"/>
      <c r="I242" s="32"/>
      <c r="J242" s="32"/>
      <c r="K242" s="32"/>
      <c r="L242" s="32"/>
      <c r="M242" s="32"/>
      <c r="N242" s="32"/>
      <c r="O242" s="122"/>
      <c r="P242" s="32"/>
      <c r="Q242" s="32"/>
    </row>
    <row r="243" spans="1:17">
      <c r="A243" s="71"/>
      <c r="B243" s="71"/>
      <c r="C243" s="71"/>
      <c r="D243" s="72"/>
      <c r="E243" s="72"/>
      <c r="F243" s="32"/>
      <c r="G243" s="32"/>
      <c r="H243" s="32"/>
      <c r="I243" s="32"/>
      <c r="J243" s="32"/>
      <c r="K243" s="32"/>
      <c r="L243" s="32"/>
      <c r="M243" s="32"/>
      <c r="N243" s="32"/>
      <c r="O243" s="122"/>
      <c r="P243" s="32"/>
      <c r="Q243" s="32"/>
    </row>
    <row r="244" spans="1:17">
      <c r="A244" s="71"/>
      <c r="B244" s="71"/>
      <c r="C244" s="71"/>
      <c r="D244" s="72"/>
      <c r="E244" s="72"/>
      <c r="F244" s="32"/>
      <c r="G244" s="32"/>
      <c r="H244" s="32"/>
      <c r="I244" s="32"/>
      <c r="J244" s="32"/>
      <c r="K244" s="32"/>
      <c r="L244" s="32"/>
      <c r="M244" s="32"/>
      <c r="N244" s="32"/>
      <c r="O244" s="122"/>
      <c r="P244" s="32"/>
      <c r="Q244" s="32"/>
    </row>
    <row r="245" spans="1:17">
      <c r="A245" s="71"/>
      <c r="B245" s="71"/>
      <c r="C245" s="71"/>
      <c r="D245" s="72"/>
      <c r="E245" s="72"/>
      <c r="F245" s="32"/>
      <c r="G245" s="32"/>
      <c r="H245" s="32"/>
      <c r="I245" s="32"/>
      <c r="J245" s="32"/>
      <c r="K245" s="32"/>
      <c r="L245" s="32"/>
      <c r="M245" s="32"/>
      <c r="N245" s="32"/>
      <c r="O245" s="122"/>
      <c r="P245" s="32"/>
      <c r="Q245" s="32"/>
    </row>
    <row r="246" spans="1:17">
      <c r="A246" s="71"/>
      <c r="B246" s="71"/>
      <c r="C246" s="71"/>
      <c r="D246" s="72"/>
      <c r="E246" s="72"/>
      <c r="F246" s="32"/>
      <c r="G246" s="32"/>
      <c r="H246" s="32"/>
      <c r="I246" s="32"/>
      <c r="J246" s="32"/>
      <c r="K246" s="32"/>
      <c r="L246" s="32"/>
      <c r="M246" s="32"/>
      <c r="N246" s="32"/>
      <c r="O246" s="122"/>
      <c r="P246" s="32"/>
      <c r="Q246" s="32"/>
    </row>
    <row r="247" spans="1:17">
      <c r="A247" s="71"/>
      <c r="B247" s="71"/>
      <c r="C247" s="71"/>
      <c r="D247" s="72"/>
      <c r="E247" s="72"/>
      <c r="F247" s="32"/>
      <c r="G247" s="32"/>
      <c r="H247" s="32"/>
      <c r="I247" s="32"/>
      <c r="J247" s="32"/>
      <c r="K247" s="32"/>
      <c r="L247" s="32"/>
      <c r="M247" s="32"/>
      <c r="N247" s="32"/>
      <c r="O247" s="122"/>
      <c r="P247" s="32"/>
      <c r="Q247" s="32"/>
    </row>
    <row r="248" spans="1:17">
      <c r="A248" s="71"/>
      <c r="B248" s="71"/>
      <c r="C248" s="71"/>
      <c r="D248" s="72"/>
      <c r="E248" s="72"/>
      <c r="F248" s="32"/>
      <c r="G248" s="32"/>
      <c r="H248" s="32"/>
      <c r="I248" s="32"/>
      <c r="J248" s="32"/>
      <c r="K248" s="32"/>
      <c r="L248" s="32"/>
      <c r="M248" s="32"/>
      <c r="N248" s="32"/>
      <c r="O248" s="122"/>
      <c r="P248" s="32"/>
      <c r="Q248" s="32"/>
    </row>
    <row r="249" spans="1:17">
      <c r="A249" s="71"/>
      <c r="B249" s="71"/>
      <c r="C249" s="71"/>
      <c r="D249" s="72"/>
      <c r="E249" s="72"/>
      <c r="F249" s="32"/>
      <c r="G249" s="32"/>
      <c r="H249" s="32"/>
      <c r="I249" s="32"/>
      <c r="J249" s="32"/>
      <c r="K249" s="32"/>
      <c r="L249" s="32"/>
      <c r="M249" s="32"/>
      <c r="N249" s="32"/>
      <c r="O249" s="122"/>
      <c r="P249" s="32"/>
      <c r="Q249" s="32"/>
    </row>
    <row r="250" spans="1:17">
      <c r="A250" s="71"/>
      <c r="B250" s="71"/>
      <c r="C250" s="71"/>
      <c r="D250" s="72"/>
      <c r="E250" s="72"/>
      <c r="F250" s="32"/>
      <c r="G250" s="32"/>
      <c r="H250" s="32"/>
      <c r="I250" s="32"/>
      <c r="J250" s="32"/>
      <c r="K250" s="32"/>
      <c r="L250" s="32"/>
      <c r="M250" s="32"/>
      <c r="N250" s="32"/>
      <c r="O250" s="122"/>
      <c r="P250" s="32"/>
      <c r="Q250" s="32"/>
    </row>
    <row r="251" spans="1:17">
      <c r="A251" s="71"/>
      <c r="B251" s="71"/>
      <c r="C251" s="71"/>
      <c r="D251" s="72"/>
      <c r="E251" s="72"/>
      <c r="F251" s="32"/>
      <c r="G251" s="32"/>
      <c r="H251" s="32"/>
      <c r="I251" s="32"/>
      <c r="J251" s="32"/>
      <c r="K251" s="32"/>
      <c r="L251" s="32"/>
      <c r="M251" s="32"/>
      <c r="N251" s="32"/>
      <c r="O251" s="122"/>
      <c r="P251" s="32"/>
      <c r="Q251" s="32"/>
    </row>
    <row r="252" spans="1:17">
      <c r="A252" s="71"/>
      <c r="B252" s="71"/>
      <c r="C252" s="71"/>
      <c r="D252" s="72"/>
      <c r="E252" s="72"/>
      <c r="F252" s="32"/>
      <c r="G252" s="32"/>
      <c r="H252" s="32"/>
      <c r="I252" s="32"/>
      <c r="J252" s="32"/>
      <c r="K252" s="32"/>
      <c r="L252" s="32"/>
      <c r="M252" s="32"/>
      <c r="N252" s="32"/>
      <c r="O252" s="122"/>
      <c r="P252" s="32"/>
      <c r="Q252" s="32"/>
    </row>
    <row r="253" spans="1:17">
      <c r="A253" s="71"/>
      <c r="B253" s="71"/>
      <c r="C253" s="71"/>
      <c r="D253" s="72"/>
      <c r="E253" s="72"/>
      <c r="F253" s="32"/>
      <c r="G253" s="32"/>
      <c r="H253" s="32"/>
      <c r="I253" s="32"/>
      <c r="J253" s="32"/>
      <c r="K253" s="32"/>
      <c r="L253" s="32"/>
      <c r="M253" s="32"/>
      <c r="N253" s="32"/>
      <c r="O253" s="122"/>
      <c r="P253" s="32"/>
      <c r="Q253" s="32"/>
    </row>
    <row r="254" spans="1:17">
      <c r="A254" s="71"/>
      <c r="B254" s="71"/>
      <c r="C254" s="71"/>
      <c r="D254" s="72"/>
      <c r="E254" s="72"/>
      <c r="F254" s="32"/>
      <c r="G254" s="32"/>
      <c r="H254" s="32"/>
      <c r="I254" s="32"/>
      <c r="J254" s="32"/>
      <c r="K254" s="32"/>
      <c r="L254" s="32"/>
      <c r="M254" s="32"/>
      <c r="N254" s="32"/>
      <c r="O254" s="122"/>
      <c r="P254" s="32"/>
      <c r="Q254" s="32"/>
    </row>
    <row r="255" spans="1:17">
      <c r="A255" s="71"/>
      <c r="B255" s="71"/>
      <c r="C255" s="71"/>
      <c r="D255" s="72"/>
      <c r="E255" s="72"/>
      <c r="F255" s="32"/>
      <c r="G255" s="32"/>
      <c r="H255" s="32"/>
      <c r="I255" s="32"/>
      <c r="J255" s="32"/>
      <c r="K255" s="32"/>
      <c r="L255" s="32"/>
      <c r="M255" s="32"/>
      <c r="N255" s="32"/>
      <c r="O255" s="122"/>
      <c r="P255" s="32"/>
      <c r="Q255" s="32"/>
    </row>
    <row r="256" spans="1:17">
      <c r="A256" s="71"/>
      <c r="B256" s="71"/>
      <c r="C256" s="71"/>
      <c r="D256" s="72"/>
      <c r="E256" s="72"/>
      <c r="F256" s="32"/>
      <c r="G256" s="32"/>
      <c r="H256" s="32"/>
      <c r="I256" s="32"/>
      <c r="J256" s="32"/>
      <c r="K256" s="32"/>
      <c r="L256" s="32"/>
      <c r="M256" s="32"/>
      <c r="N256" s="32"/>
      <c r="O256" s="122"/>
      <c r="P256" s="32"/>
      <c r="Q256" s="32"/>
    </row>
    <row r="257" spans="1:17">
      <c r="A257" s="71"/>
      <c r="B257" s="71"/>
      <c r="C257" s="71"/>
      <c r="D257" s="72"/>
      <c r="E257" s="72"/>
      <c r="F257" s="32"/>
      <c r="G257" s="32"/>
      <c r="H257" s="32"/>
      <c r="I257" s="32"/>
      <c r="J257" s="32"/>
      <c r="K257" s="32"/>
      <c r="L257" s="32"/>
      <c r="M257" s="32"/>
      <c r="N257" s="32"/>
      <c r="O257" s="122"/>
      <c r="P257" s="32"/>
      <c r="Q257" s="32"/>
    </row>
    <row r="258" spans="1:17">
      <c r="A258" s="71"/>
      <c r="B258" s="71"/>
      <c r="C258" s="71"/>
      <c r="D258" s="72"/>
      <c r="E258" s="72"/>
      <c r="F258" s="32"/>
      <c r="G258" s="32"/>
      <c r="H258" s="32"/>
      <c r="I258" s="32"/>
      <c r="J258" s="32"/>
      <c r="K258" s="32"/>
      <c r="L258" s="32"/>
      <c r="M258" s="32"/>
      <c r="N258" s="32"/>
      <c r="O258" s="122"/>
      <c r="P258" s="32"/>
      <c r="Q258" s="32"/>
    </row>
    <row r="259" spans="1:17">
      <c r="A259" s="71"/>
      <c r="B259" s="71"/>
      <c r="C259" s="71"/>
      <c r="D259" s="72"/>
      <c r="E259" s="72"/>
      <c r="F259" s="32"/>
      <c r="G259" s="32"/>
      <c r="H259" s="32"/>
      <c r="I259" s="32"/>
      <c r="J259" s="32"/>
      <c r="K259" s="32"/>
      <c r="L259" s="32"/>
      <c r="M259" s="32"/>
      <c r="N259" s="32"/>
      <c r="O259" s="122"/>
      <c r="P259" s="32"/>
      <c r="Q259" s="32"/>
    </row>
    <row r="260" spans="1:17">
      <c r="A260" s="71"/>
      <c r="B260" s="71"/>
      <c r="C260" s="71"/>
      <c r="D260" s="72"/>
      <c r="E260" s="72"/>
      <c r="F260" s="32"/>
      <c r="G260" s="32"/>
      <c r="H260" s="32"/>
      <c r="I260" s="32"/>
      <c r="J260" s="32"/>
      <c r="K260" s="32"/>
      <c r="L260" s="32"/>
      <c r="M260" s="32"/>
      <c r="N260" s="32"/>
      <c r="O260" s="122"/>
      <c r="P260" s="32"/>
      <c r="Q260" s="32"/>
    </row>
    <row r="261" spans="1:17">
      <c r="A261" s="71"/>
      <c r="B261" s="71"/>
      <c r="C261" s="71"/>
      <c r="D261" s="72"/>
      <c r="E261" s="72"/>
      <c r="F261" s="32"/>
      <c r="G261" s="32"/>
      <c r="H261" s="32"/>
      <c r="I261" s="32"/>
      <c r="J261" s="32"/>
      <c r="K261" s="32"/>
      <c r="L261" s="32"/>
      <c r="M261" s="32"/>
      <c r="N261" s="32"/>
      <c r="O261" s="122"/>
      <c r="P261" s="32"/>
      <c r="Q261" s="32"/>
    </row>
    <row r="262" spans="1:17">
      <c r="A262" s="71"/>
      <c r="B262" s="71"/>
      <c r="C262" s="71"/>
      <c r="D262" s="72"/>
      <c r="E262" s="72"/>
      <c r="F262" s="32"/>
      <c r="G262" s="32"/>
      <c r="H262" s="32"/>
      <c r="I262" s="32"/>
      <c r="J262" s="32"/>
      <c r="K262" s="32"/>
      <c r="L262" s="32"/>
      <c r="M262" s="32"/>
      <c r="N262" s="32"/>
      <c r="O262" s="122"/>
      <c r="P262" s="32"/>
      <c r="Q262" s="32"/>
    </row>
    <row r="263" spans="1:17">
      <c r="A263" s="71"/>
      <c r="B263" s="71"/>
      <c r="C263" s="71"/>
      <c r="D263" s="72"/>
      <c r="E263" s="72"/>
      <c r="F263" s="32"/>
      <c r="G263" s="32"/>
      <c r="H263" s="32"/>
      <c r="I263" s="32"/>
      <c r="J263" s="32"/>
      <c r="K263" s="32"/>
      <c r="L263" s="32"/>
      <c r="M263" s="32"/>
      <c r="N263" s="32"/>
      <c r="O263" s="122"/>
      <c r="P263" s="32"/>
      <c r="Q263" s="32"/>
    </row>
    <row r="264" spans="1:17">
      <c r="A264" s="71"/>
      <c r="B264" s="71"/>
      <c r="C264" s="71"/>
      <c r="D264" s="72"/>
      <c r="E264" s="72"/>
      <c r="F264" s="32"/>
      <c r="G264" s="32"/>
      <c r="H264" s="32"/>
      <c r="I264" s="32"/>
      <c r="J264" s="32"/>
      <c r="K264" s="32"/>
      <c r="L264" s="32"/>
      <c r="M264" s="32"/>
      <c r="N264" s="32"/>
      <c r="O264" s="122"/>
      <c r="P264" s="32"/>
      <c r="Q264" s="32"/>
    </row>
    <row r="265" spans="1:17">
      <c r="A265" s="71"/>
      <c r="B265" s="71"/>
      <c r="C265" s="71"/>
      <c r="D265" s="72"/>
      <c r="E265" s="72"/>
      <c r="F265" s="32"/>
      <c r="G265" s="32"/>
      <c r="H265" s="32"/>
      <c r="I265" s="32"/>
      <c r="J265" s="32"/>
      <c r="K265" s="32"/>
      <c r="L265" s="32"/>
      <c r="M265" s="32"/>
      <c r="N265" s="32"/>
      <c r="O265" s="122"/>
      <c r="P265" s="32"/>
      <c r="Q265" s="32"/>
    </row>
    <row r="266" spans="1:17">
      <c r="A266" s="71"/>
      <c r="B266" s="71"/>
      <c r="C266" s="71"/>
      <c r="D266" s="72"/>
      <c r="E266" s="72"/>
      <c r="F266" s="32"/>
      <c r="G266" s="32"/>
      <c r="H266" s="32"/>
      <c r="I266" s="32"/>
      <c r="J266" s="32"/>
      <c r="K266" s="32"/>
      <c r="L266" s="32"/>
      <c r="M266" s="32"/>
      <c r="N266" s="32"/>
      <c r="O266" s="122"/>
      <c r="P266" s="32"/>
      <c r="Q266" s="32"/>
    </row>
    <row r="267" spans="1:17">
      <c r="A267" s="71"/>
      <c r="B267" s="71"/>
      <c r="C267" s="71"/>
      <c r="D267" s="72"/>
      <c r="E267" s="72"/>
      <c r="F267" s="32"/>
      <c r="G267" s="32"/>
      <c r="H267" s="32"/>
      <c r="I267" s="32"/>
      <c r="J267" s="32"/>
      <c r="K267" s="32"/>
      <c r="L267" s="32"/>
      <c r="M267" s="32"/>
      <c r="N267" s="32"/>
      <c r="O267" s="122"/>
      <c r="P267" s="32"/>
      <c r="Q267" s="32"/>
    </row>
    <row r="268" spans="1:17">
      <c r="A268" s="71"/>
      <c r="B268" s="71"/>
      <c r="C268" s="71"/>
      <c r="D268" s="72"/>
      <c r="E268" s="72"/>
      <c r="F268" s="32"/>
      <c r="G268" s="32"/>
      <c r="H268" s="32"/>
      <c r="I268" s="32"/>
      <c r="J268" s="32"/>
      <c r="K268" s="32"/>
      <c r="L268" s="32"/>
      <c r="M268" s="32"/>
      <c r="N268" s="32"/>
      <c r="O268" s="122"/>
      <c r="P268" s="32"/>
      <c r="Q268" s="32"/>
    </row>
    <row r="269" spans="1:17">
      <c r="A269" s="71"/>
      <c r="B269" s="71"/>
      <c r="C269" s="71"/>
      <c r="D269" s="72"/>
      <c r="E269" s="72"/>
      <c r="F269" s="32"/>
      <c r="G269" s="32"/>
      <c r="H269" s="32"/>
      <c r="I269" s="32"/>
      <c r="J269" s="32"/>
      <c r="K269" s="32"/>
      <c r="L269" s="32"/>
      <c r="M269" s="32"/>
      <c r="N269" s="32"/>
      <c r="O269" s="122"/>
      <c r="P269" s="32"/>
      <c r="Q269" s="32"/>
    </row>
    <row r="270" spans="1:17">
      <c r="A270" s="71"/>
      <c r="B270" s="71"/>
      <c r="C270" s="71"/>
      <c r="D270" s="72"/>
      <c r="E270" s="72"/>
      <c r="F270" s="32"/>
      <c r="G270" s="32"/>
      <c r="H270" s="32"/>
      <c r="I270" s="32"/>
      <c r="J270" s="32"/>
      <c r="K270" s="32"/>
      <c r="L270" s="32"/>
      <c r="M270" s="32"/>
      <c r="N270" s="32"/>
      <c r="O270" s="122"/>
      <c r="P270" s="32"/>
      <c r="Q270" s="32"/>
    </row>
    <row r="271" spans="1:17">
      <c r="A271" s="71"/>
      <c r="B271" s="71"/>
      <c r="C271" s="71"/>
      <c r="D271" s="72"/>
      <c r="E271" s="72"/>
      <c r="F271" s="32"/>
      <c r="G271" s="32"/>
      <c r="H271" s="32"/>
      <c r="I271" s="32"/>
      <c r="J271" s="32"/>
      <c r="K271" s="32"/>
      <c r="L271" s="32"/>
      <c r="M271" s="32"/>
      <c r="N271" s="32"/>
      <c r="O271" s="122"/>
      <c r="P271" s="32"/>
      <c r="Q271" s="32"/>
    </row>
    <row r="272" spans="1:17">
      <c r="A272" s="71"/>
      <c r="B272" s="71"/>
      <c r="C272" s="71"/>
      <c r="D272" s="72"/>
      <c r="E272" s="72"/>
      <c r="F272" s="32"/>
      <c r="G272" s="32"/>
      <c r="H272" s="32"/>
      <c r="I272" s="32"/>
      <c r="J272" s="32"/>
      <c r="K272" s="32"/>
      <c r="L272" s="32"/>
      <c r="M272" s="32"/>
      <c r="N272" s="32"/>
      <c r="O272" s="122"/>
      <c r="P272" s="32"/>
      <c r="Q272" s="32"/>
    </row>
    <row r="273" spans="1:17">
      <c r="A273" s="71"/>
      <c r="B273" s="71"/>
      <c r="C273" s="71"/>
      <c r="D273" s="72"/>
      <c r="E273" s="72"/>
      <c r="F273" s="32"/>
      <c r="G273" s="32"/>
      <c r="H273" s="32"/>
      <c r="I273" s="32"/>
      <c r="J273" s="32"/>
      <c r="K273" s="32"/>
      <c r="L273" s="32"/>
      <c r="M273" s="32"/>
      <c r="N273" s="32"/>
      <c r="O273" s="122"/>
      <c r="P273" s="32"/>
      <c r="Q273" s="32"/>
    </row>
    <row r="274" spans="1:17">
      <c r="A274" s="71"/>
      <c r="B274" s="71"/>
      <c r="C274" s="71"/>
      <c r="D274" s="72"/>
      <c r="E274" s="72"/>
      <c r="F274" s="32"/>
      <c r="G274" s="32"/>
      <c r="H274" s="32"/>
      <c r="I274" s="32"/>
      <c r="J274" s="32"/>
      <c r="K274" s="32"/>
      <c r="L274" s="32"/>
      <c r="M274" s="32"/>
      <c r="N274" s="32"/>
      <c r="O274" s="122"/>
      <c r="P274" s="32"/>
      <c r="Q274" s="32"/>
    </row>
    <row r="275" spans="1:17">
      <c r="A275" s="71"/>
      <c r="B275" s="71"/>
      <c r="C275" s="71"/>
      <c r="D275" s="72"/>
      <c r="E275" s="72"/>
      <c r="F275" s="32"/>
      <c r="G275" s="32"/>
      <c r="H275" s="32"/>
      <c r="I275" s="32"/>
      <c r="J275" s="32"/>
      <c r="K275" s="32"/>
      <c r="L275" s="32"/>
      <c r="M275" s="32"/>
      <c r="N275" s="32"/>
      <c r="O275" s="122"/>
      <c r="P275" s="32"/>
      <c r="Q275" s="32"/>
    </row>
    <row r="276" spans="1:17">
      <c r="A276" s="71"/>
      <c r="B276" s="71"/>
      <c r="C276" s="71"/>
      <c r="D276" s="72"/>
      <c r="E276" s="72"/>
      <c r="F276" s="32"/>
      <c r="G276" s="32"/>
      <c r="H276" s="32"/>
      <c r="I276" s="32"/>
      <c r="J276" s="32"/>
      <c r="K276" s="32"/>
      <c r="L276" s="32"/>
      <c r="M276" s="32"/>
      <c r="N276" s="32"/>
      <c r="O276" s="122"/>
      <c r="P276" s="32"/>
      <c r="Q276" s="32"/>
    </row>
    <row r="277" spans="1:17">
      <c r="A277" s="71"/>
      <c r="B277" s="71"/>
      <c r="C277" s="71"/>
      <c r="D277" s="72"/>
      <c r="E277" s="72"/>
      <c r="F277" s="32"/>
      <c r="G277" s="32"/>
      <c r="H277" s="32"/>
      <c r="I277" s="32"/>
      <c r="J277" s="32"/>
      <c r="K277" s="32"/>
      <c r="L277" s="32"/>
      <c r="M277" s="32"/>
      <c r="N277" s="32"/>
      <c r="O277" s="122"/>
      <c r="P277" s="32"/>
      <c r="Q277" s="32"/>
    </row>
    <row r="278" spans="1:17">
      <c r="A278" s="71"/>
      <c r="B278" s="71"/>
      <c r="C278" s="71"/>
      <c r="D278" s="72"/>
      <c r="E278" s="72"/>
      <c r="F278" s="32"/>
      <c r="G278" s="32"/>
      <c r="H278" s="32"/>
      <c r="I278" s="32"/>
      <c r="J278" s="32"/>
      <c r="K278" s="32"/>
      <c r="L278" s="32"/>
      <c r="M278" s="32"/>
      <c r="N278" s="32"/>
      <c r="O278" s="122"/>
      <c r="P278" s="32"/>
      <c r="Q278" s="32"/>
    </row>
    <row r="279" spans="1:17">
      <c r="A279" s="71"/>
      <c r="B279" s="71"/>
      <c r="C279" s="71"/>
      <c r="D279" s="72"/>
      <c r="E279" s="72"/>
      <c r="F279" s="32"/>
      <c r="G279" s="32"/>
      <c r="H279" s="32"/>
      <c r="I279" s="32"/>
      <c r="J279" s="32"/>
      <c r="K279" s="32"/>
      <c r="L279" s="32"/>
      <c r="M279" s="32"/>
      <c r="N279" s="32"/>
      <c r="O279" s="122"/>
      <c r="P279" s="32"/>
      <c r="Q279" s="32"/>
    </row>
    <row r="280" spans="1:17">
      <c r="A280" s="71"/>
      <c r="B280" s="71"/>
      <c r="C280" s="71"/>
      <c r="D280" s="72"/>
      <c r="E280" s="72"/>
      <c r="F280" s="32"/>
      <c r="G280" s="32"/>
      <c r="H280" s="32"/>
      <c r="I280" s="32"/>
      <c r="J280" s="32"/>
      <c r="K280" s="32"/>
      <c r="L280" s="32"/>
      <c r="M280" s="32"/>
      <c r="N280" s="32"/>
      <c r="O280" s="122"/>
      <c r="P280" s="32"/>
      <c r="Q280" s="32"/>
    </row>
    <row r="281" spans="1:17">
      <c r="A281" s="71"/>
      <c r="B281" s="71"/>
      <c r="C281" s="71"/>
      <c r="D281" s="72"/>
      <c r="E281" s="72"/>
      <c r="F281" s="32"/>
      <c r="G281" s="32"/>
      <c r="H281" s="32"/>
      <c r="I281" s="32"/>
      <c r="J281" s="32"/>
      <c r="K281" s="32"/>
      <c r="L281" s="32"/>
      <c r="M281" s="32"/>
      <c r="N281" s="32"/>
      <c r="O281" s="122"/>
      <c r="P281" s="32"/>
      <c r="Q281" s="32"/>
    </row>
    <row r="282" spans="1:17">
      <c r="A282" s="71"/>
      <c r="B282" s="71"/>
      <c r="C282" s="71"/>
      <c r="D282" s="72"/>
      <c r="E282" s="72"/>
      <c r="F282" s="32"/>
      <c r="G282" s="32"/>
      <c r="H282" s="32"/>
      <c r="I282" s="32"/>
      <c r="J282" s="32"/>
      <c r="K282" s="32"/>
      <c r="L282" s="32"/>
      <c r="M282" s="32"/>
      <c r="N282" s="32"/>
      <c r="O282" s="122"/>
      <c r="P282" s="32"/>
      <c r="Q282" s="32"/>
    </row>
    <row r="283" spans="1:17">
      <c r="A283" s="71"/>
      <c r="B283" s="71"/>
      <c r="C283" s="71"/>
      <c r="D283" s="72"/>
      <c r="E283" s="72"/>
      <c r="F283" s="32"/>
      <c r="G283" s="32"/>
      <c r="H283" s="32"/>
      <c r="I283" s="32"/>
      <c r="J283" s="32"/>
      <c r="K283" s="32"/>
      <c r="L283" s="32"/>
      <c r="M283" s="32"/>
      <c r="N283" s="32"/>
      <c r="O283" s="122"/>
      <c r="P283" s="32"/>
      <c r="Q283" s="32"/>
    </row>
    <row r="284" spans="1:17">
      <c r="A284" s="71"/>
      <c r="B284" s="71"/>
      <c r="C284" s="71"/>
      <c r="D284" s="72"/>
      <c r="E284" s="72"/>
      <c r="F284" s="32"/>
      <c r="G284" s="32"/>
      <c r="H284" s="32"/>
      <c r="I284" s="32"/>
      <c r="J284" s="32"/>
      <c r="K284" s="32"/>
      <c r="L284" s="32"/>
      <c r="M284" s="32"/>
      <c r="N284" s="32"/>
      <c r="O284" s="122"/>
      <c r="P284" s="32"/>
      <c r="Q284" s="32"/>
    </row>
    <row r="285" spans="1:17">
      <c r="A285" s="71"/>
      <c r="B285" s="71"/>
      <c r="C285" s="71"/>
      <c r="D285" s="72"/>
      <c r="E285" s="72"/>
      <c r="F285" s="32"/>
      <c r="G285" s="32"/>
      <c r="H285" s="32"/>
      <c r="I285" s="32"/>
      <c r="J285" s="32"/>
      <c r="K285" s="32"/>
      <c r="L285" s="32"/>
      <c r="M285" s="32"/>
      <c r="N285" s="32"/>
      <c r="O285" s="122"/>
      <c r="P285" s="32"/>
      <c r="Q285" s="32"/>
    </row>
    <row r="286" spans="1:17">
      <c r="A286" s="71"/>
      <c r="B286" s="71"/>
      <c r="C286" s="71"/>
      <c r="D286" s="72"/>
      <c r="E286" s="72"/>
      <c r="F286" s="32"/>
      <c r="G286" s="32"/>
      <c r="H286" s="32"/>
      <c r="I286" s="32"/>
      <c r="J286" s="32"/>
      <c r="K286" s="32"/>
      <c r="L286" s="32"/>
      <c r="M286" s="32"/>
      <c r="N286" s="32"/>
      <c r="O286" s="122"/>
      <c r="P286" s="32"/>
      <c r="Q286" s="32"/>
    </row>
    <row r="287" spans="1:17">
      <c r="A287" s="71"/>
      <c r="B287" s="71"/>
      <c r="C287" s="71"/>
      <c r="D287" s="72"/>
      <c r="E287" s="72"/>
      <c r="F287" s="32"/>
      <c r="G287" s="32"/>
      <c r="H287" s="32"/>
      <c r="I287" s="32"/>
      <c r="J287" s="32"/>
      <c r="K287" s="32"/>
      <c r="L287" s="32"/>
      <c r="M287" s="32"/>
      <c r="N287" s="32"/>
      <c r="O287" s="122"/>
      <c r="P287" s="32"/>
      <c r="Q287" s="32"/>
    </row>
    <row r="288" spans="1:17">
      <c r="A288" s="71"/>
      <c r="B288" s="71"/>
      <c r="C288" s="71"/>
      <c r="D288" s="72"/>
      <c r="E288" s="72"/>
      <c r="F288" s="32"/>
      <c r="G288" s="32"/>
      <c r="H288" s="32"/>
      <c r="I288" s="32"/>
      <c r="J288" s="32"/>
      <c r="K288" s="32"/>
      <c r="L288" s="32"/>
      <c r="M288" s="32"/>
      <c r="N288" s="32"/>
      <c r="O288" s="122"/>
      <c r="P288" s="32"/>
      <c r="Q288" s="32"/>
    </row>
    <row r="289" spans="1:17">
      <c r="A289" s="71"/>
      <c r="B289" s="71"/>
      <c r="C289" s="71"/>
      <c r="D289" s="72"/>
      <c r="E289" s="72"/>
      <c r="F289" s="32"/>
      <c r="G289" s="32"/>
      <c r="H289" s="32"/>
      <c r="I289" s="32"/>
      <c r="J289" s="32"/>
      <c r="K289" s="32"/>
      <c r="L289" s="32"/>
      <c r="M289" s="32"/>
      <c r="N289" s="32"/>
      <c r="O289" s="122"/>
      <c r="P289" s="32"/>
      <c r="Q289" s="32"/>
    </row>
    <row r="290" spans="1:17">
      <c r="A290" s="71"/>
      <c r="B290" s="71"/>
      <c r="C290" s="71"/>
      <c r="D290" s="72"/>
      <c r="E290" s="72"/>
      <c r="F290" s="32"/>
      <c r="G290" s="32"/>
      <c r="H290" s="32"/>
      <c r="I290" s="32"/>
      <c r="J290" s="32"/>
      <c r="K290" s="32"/>
      <c r="L290" s="32"/>
      <c r="M290" s="32"/>
      <c r="N290" s="32"/>
      <c r="O290" s="122"/>
      <c r="P290" s="32"/>
      <c r="Q290" s="32"/>
    </row>
    <row r="291" spans="1:17">
      <c r="A291" s="71"/>
      <c r="B291" s="71"/>
      <c r="C291" s="71"/>
      <c r="D291" s="72"/>
      <c r="E291" s="72"/>
      <c r="F291" s="32"/>
      <c r="G291" s="32"/>
      <c r="H291" s="32"/>
      <c r="I291" s="32"/>
      <c r="J291" s="32"/>
      <c r="K291" s="32"/>
      <c r="L291" s="32"/>
      <c r="M291" s="32"/>
      <c r="N291" s="32"/>
      <c r="O291" s="122"/>
      <c r="P291" s="32"/>
      <c r="Q291" s="32"/>
    </row>
    <row r="292" spans="1:17">
      <c r="A292" s="71"/>
      <c r="B292" s="71"/>
      <c r="C292" s="71"/>
      <c r="D292" s="72"/>
      <c r="E292" s="72"/>
      <c r="F292" s="32"/>
      <c r="G292" s="32"/>
      <c r="H292" s="32"/>
      <c r="I292" s="32"/>
      <c r="J292" s="32"/>
      <c r="K292" s="32"/>
      <c r="L292" s="32"/>
      <c r="M292" s="32"/>
      <c r="N292" s="32"/>
      <c r="O292" s="122"/>
      <c r="P292" s="32"/>
      <c r="Q292" s="32"/>
    </row>
    <row r="293" spans="1:17">
      <c r="A293" s="71"/>
      <c r="B293" s="71"/>
      <c r="C293" s="71"/>
      <c r="D293" s="72"/>
      <c r="E293" s="72"/>
      <c r="F293" s="32"/>
      <c r="G293" s="32"/>
      <c r="H293" s="32"/>
      <c r="I293" s="32"/>
      <c r="J293" s="32"/>
      <c r="K293" s="32"/>
      <c r="L293" s="32"/>
      <c r="M293" s="32"/>
      <c r="N293" s="32"/>
      <c r="O293" s="122"/>
      <c r="P293" s="32"/>
      <c r="Q293" s="32"/>
    </row>
    <row r="294" spans="1:17">
      <c r="A294" s="71"/>
      <c r="B294" s="71"/>
      <c r="C294" s="71"/>
      <c r="D294" s="72"/>
      <c r="E294" s="72"/>
      <c r="F294" s="32"/>
      <c r="G294" s="32"/>
      <c r="H294" s="32"/>
      <c r="I294" s="32"/>
      <c r="J294" s="32"/>
      <c r="K294" s="32"/>
      <c r="L294" s="32"/>
      <c r="M294" s="32"/>
      <c r="N294" s="32"/>
      <c r="O294" s="122"/>
      <c r="P294" s="32"/>
      <c r="Q294" s="32"/>
    </row>
    <row r="295" spans="1:17">
      <c r="A295" s="71"/>
      <c r="B295" s="71"/>
      <c r="C295" s="71"/>
      <c r="D295" s="72"/>
      <c r="E295" s="72"/>
      <c r="F295" s="32"/>
      <c r="G295" s="32"/>
      <c r="H295" s="32"/>
      <c r="I295" s="32"/>
      <c r="J295" s="32"/>
      <c r="K295" s="32"/>
      <c r="L295" s="32"/>
      <c r="M295" s="32"/>
      <c r="N295" s="32"/>
      <c r="O295" s="122"/>
      <c r="P295" s="32"/>
      <c r="Q295" s="32"/>
    </row>
    <row r="296" spans="1:17">
      <c r="A296" s="71"/>
      <c r="B296" s="71"/>
      <c r="C296" s="71"/>
      <c r="D296" s="72"/>
      <c r="E296" s="72"/>
      <c r="F296" s="32"/>
      <c r="G296" s="32"/>
      <c r="H296" s="32"/>
      <c r="I296" s="32"/>
      <c r="J296" s="32"/>
      <c r="K296" s="32"/>
      <c r="L296" s="32"/>
      <c r="M296" s="32"/>
      <c r="N296" s="32"/>
      <c r="O296" s="122"/>
      <c r="P296" s="32"/>
      <c r="Q296" s="32"/>
    </row>
    <row r="297" spans="1:17">
      <c r="A297" s="71"/>
      <c r="B297" s="71"/>
      <c r="C297" s="71"/>
      <c r="D297" s="72"/>
      <c r="E297" s="72"/>
      <c r="F297" s="32"/>
      <c r="G297" s="32"/>
      <c r="H297" s="32"/>
      <c r="I297" s="32"/>
      <c r="J297" s="32"/>
      <c r="K297" s="32"/>
      <c r="L297" s="32"/>
      <c r="M297" s="32"/>
      <c r="N297" s="32"/>
      <c r="O297" s="122"/>
      <c r="P297" s="32"/>
      <c r="Q297" s="32"/>
    </row>
    <row r="298" spans="1:17">
      <c r="A298" s="71"/>
      <c r="B298" s="71"/>
      <c r="C298" s="71"/>
      <c r="D298" s="72"/>
      <c r="E298" s="72"/>
      <c r="F298" s="32"/>
      <c r="G298" s="32"/>
      <c r="H298" s="32"/>
      <c r="I298" s="32"/>
      <c r="J298" s="32"/>
      <c r="K298" s="32"/>
      <c r="L298" s="32"/>
      <c r="M298" s="32"/>
      <c r="N298" s="32"/>
      <c r="O298" s="122"/>
      <c r="P298" s="32"/>
      <c r="Q298" s="32"/>
    </row>
    <row r="299" spans="1:17">
      <c r="A299" s="71"/>
      <c r="B299" s="71"/>
      <c r="C299" s="71"/>
      <c r="D299" s="72"/>
      <c r="E299" s="72"/>
      <c r="F299" s="32"/>
      <c r="G299" s="32"/>
      <c r="H299" s="32"/>
      <c r="I299" s="32"/>
      <c r="J299" s="32"/>
      <c r="K299" s="32"/>
      <c r="L299" s="32"/>
      <c r="M299" s="32"/>
      <c r="N299" s="32"/>
      <c r="O299" s="122"/>
      <c r="P299" s="32"/>
      <c r="Q299" s="32"/>
    </row>
    <row r="300" spans="1:17">
      <c r="A300" s="71"/>
      <c r="B300" s="71"/>
      <c r="C300" s="71"/>
      <c r="D300" s="72"/>
      <c r="E300" s="72"/>
      <c r="F300" s="32"/>
      <c r="G300" s="32"/>
      <c r="H300" s="32"/>
      <c r="I300" s="32"/>
      <c r="J300" s="32"/>
      <c r="K300" s="32"/>
      <c r="L300" s="32"/>
      <c r="M300" s="32"/>
      <c r="N300" s="32"/>
      <c r="O300" s="122"/>
      <c r="P300" s="32"/>
      <c r="Q300" s="32"/>
    </row>
    <row r="301" spans="1:17">
      <c r="A301" s="71"/>
      <c r="B301" s="71"/>
      <c r="C301" s="71"/>
      <c r="D301" s="72"/>
      <c r="E301" s="72"/>
      <c r="F301" s="32"/>
      <c r="G301" s="32"/>
      <c r="H301" s="32"/>
      <c r="I301" s="32"/>
      <c r="J301" s="32"/>
      <c r="K301" s="32"/>
      <c r="L301" s="32"/>
      <c r="M301" s="32"/>
      <c r="N301" s="32"/>
      <c r="O301" s="122"/>
      <c r="P301" s="32"/>
      <c r="Q301" s="32"/>
    </row>
    <row r="302" spans="1:17">
      <c r="A302" s="71"/>
      <c r="B302" s="71"/>
      <c r="C302" s="71"/>
      <c r="D302" s="72"/>
      <c r="E302" s="72"/>
      <c r="F302" s="32"/>
      <c r="G302" s="32"/>
      <c r="H302" s="32"/>
      <c r="I302" s="32"/>
      <c r="J302" s="32"/>
      <c r="K302" s="32"/>
      <c r="L302" s="32"/>
      <c r="M302" s="32"/>
      <c r="N302" s="32"/>
      <c r="O302" s="122"/>
      <c r="P302" s="32"/>
      <c r="Q302" s="32"/>
    </row>
    <row r="303" spans="1:17">
      <c r="A303" s="71"/>
      <c r="B303" s="71"/>
      <c r="C303" s="71"/>
      <c r="D303" s="72"/>
      <c r="E303" s="72"/>
      <c r="F303" s="32"/>
      <c r="G303" s="32"/>
      <c r="H303" s="32"/>
      <c r="I303" s="32"/>
      <c r="J303" s="32"/>
      <c r="K303" s="32"/>
      <c r="L303" s="32"/>
      <c r="M303" s="32"/>
      <c r="N303" s="32"/>
      <c r="O303" s="122"/>
      <c r="P303" s="32"/>
      <c r="Q303" s="32"/>
    </row>
    <row r="304" spans="1:17">
      <c r="A304" s="71"/>
      <c r="B304" s="71"/>
      <c r="C304" s="71"/>
      <c r="D304" s="72"/>
      <c r="E304" s="72"/>
      <c r="F304" s="32"/>
      <c r="G304" s="32"/>
      <c r="H304" s="32"/>
      <c r="I304" s="32"/>
      <c r="J304" s="32"/>
      <c r="K304" s="32"/>
      <c r="L304" s="32"/>
      <c r="M304" s="32"/>
      <c r="N304" s="32"/>
      <c r="O304" s="122"/>
      <c r="P304" s="32"/>
      <c r="Q304" s="32"/>
    </row>
    <row r="305" spans="1:17">
      <c r="A305" s="71"/>
      <c r="B305" s="71"/>
      <c r="C305" s="71"/>
      <c r="D305" s="72"/>
      <c r="E305" s="72"/>
      <c r="F305" s="32"/>
      <c r="G305" s="32"/>
      <c r="H305" s="32"/>
      <c r="I305" s="32"/>
      <c r="J305" s="32"/>
      <c r="K305" s="32"/>
      <c r="L305" s="32"/>
      <c r="M305" s="32"/>
      <c r="N305" s="32"/>
      <c r="O305" s="122"/>
      <c r="P305" s="32"/>
      <c r="Q305" s="32"/>
    </row>
    <row r="306" spans="1:17">
      <c r="A306" s="71"/>
      <c r="B306" s="71"/>
      <c r="C306" s="71"/>
      <c r="D306" s="72"/>
      <c r="E306" s="72"/>
      <c r="F306" s="32"/>
      <c r="G306" s="32"/>
      <c r="H306" s="32"/>
      <c r="I306" s="32"/>
      <c r="J306" s="32"/>
      <c r="K306" s="32"/>
      <c r="L306" s="32"/>
      <c r="M306" s="32"/>
      <c r="N306" s="32"/>
      <c r="O306" s="122"/>
      <c r="P306" s="32"/>
      <c r="Q306" s="32"/>
    </row>
    <row r="307" spans="1:17">
      <c r="A307" s="71"/>
      <c r="B307" s="71"/>
      <c r="C307" s="71"/>
      <c r="D307" s="72"/>
      <c r="E307" s="72"/>
      <c r="F307" s="32"/>
      <c r="G307" s="32"/>
      <c r="H307" s="32"/>
      <c r="I307" s="32"/>
      <c r="J307" s="32"/>
      <c r="K307" s="32"/>
      <c r="L307" s="32"/>
      <c r="M307" s="32"/>
      <c r="N307" s="32"/>
      <c r="O307" s="122"/>
      <c r="P307" s="32"/>
      <c r="Q307" s="32"/>
    </row>
    <row r="308" spans="1:17">
      <c r="A308" s="71"/>
      <c r="B308" s="71"/>
      <c r="C308" s="71"/>
      <c r="D308" s="72"/>
      <c r="E308" s="72"/>
      <c r="F308" s="32"/>
      <c r="G308" s="32"/>
      <c r="H308" s="32"/>
      <c r="I308" s="32"/>
      <c r="J308" s="32"/>
      <c r="K308" s="32"/>
      <c r="L308" s="32"/>
      <c r="M308" s="32"/>
      <c r="N308" s="32"/>
      <c r="O308" s="122"/>
      <c r="P308" s="32"/>
      <c r="Q308" s="32"/>
    </row>
    <row r="309" spans="1:17">
      <c r="A309" s="71"/>
      <c r="B309" s="71"/>
      <c r="C309" s="71"/>
      <c r="D309" s="72"/>
      <c r="E309" s="72"/>
      <c r="F309" s="32"/>
      <c r="G309" s="32"/>
      <c r="H309" s="32"/>
      <c r="I309" s="32"/>
      <c r="J309" s="32"/>
      <c r="K309" s="32"/>
      <c r="L309" s="32"/>
      <c r="M309" s="32"/>
      <c r="N309" s="32"/>
      <c r="O309" s="122"/>
      <c r="P309" s="32"/>
      <c r="Q309" s="32"/>
    </row>
    <row r="310" spans="1:17">
      <c r="A310" s="71"/>
      <c r="B310" s="71"/>
      <c r="C310" s="71"/>
      <c r="D310" s="72"/>
      <c r="E310" s="72"/>
      <c r="F310" s="32"/>
      <c r="G310" s="32"/>
      <c r="H310" s="32"/>
      <c r="I310" s="32"/>
      <c r="J310" s="32"/>
      <c r="K310" s="32"/>
      <c r="L310" s="32"/>
      <c r="M310" s="32"/>
      <c r="N310" s="32"/>
      <c r="O310" s="122"/>
      <c r="P310" s="32"/>
      <c r="Q310" s="32"/>
    </row>
    <row r="311" spans="1:17">
      <c r="A311" s="71"/>
      <c r="B311" s="71"/>
      <c r="C311" s="71"/>
      <c r="D311" s="72"/>
      <c r="E311" s="72"/>
      <c r="F311" s="32"/>
      <c r="G311" s="32"/>
      <c r="H311" s="32"/>
      <c r="I311" s="32"/>
      <c r="J311" s="32"/>
      <c r="K311" s="32"/>
      <c r="L311" s="32"/>
      <c r="M311" s="32"/>
      <c r="N311" s="32"/>
      <c r="O311" s="122"/>
      <c r="P311" s="32"/>
      <c r="Q311" s="32"/>
    </row>
    <row r="312" spans="1:17">
      <c r="A312" s="71"/>
      <c r="B312" s="71"/>
      <c r="C312" s="71"/>
      <c r="D312" s="72"/>
      <c r="E312" s="72"/>
      <c r="F312" s="32"/>
      <c r="G312" s="32"/>
      <c r="H312" s="32"/>
      <c r="I312" s="32"/>
      <c r="J312" s="32"/>
      <c r="K312" s="32"/>
      <c r="L312" s="32"/>
      <c r="M312" s="32"/>
      <c r="N312" s="32"/>
      <c r="O312" s="122"/>
      <c r="P312" s="32"/>
      <c r="Q312" s="32"/>
    </row>
    <row r="313" spans="1:17">
      <c r="A313" s="71"/>
      <c r="B313" s="71"/>
      <c r="C313" s="71"/>
      <c r="D313" s="72"/>
      <c r="E313" s="72"/>
      <c r="F313" s="32"/>
      <c r="G313" s="32"/>
      <c r="H313" s="32"/>
      <c r="I313" s="32"/>
      <c r="J313" s="32"/>
      <c r="K313" s="32"/>
      <c r="L313" s="32"/>
      <c r="M313" s="32"/>
      <c r="N313" s="32"/>
      <c r="O313" s="122"/>
      <c r="P313" s="32"/>
      <c r="Q313" s="32"/>
    </row>
    <row r="314" spans="1:17">
      <c r="A314" s="71"/>
      <c r="B314" s="71"/>
      <c r="C314" s="71"/>
      <c r="D314" s="72"/>
      <c r="E314" s="72"/>
      <c r="F314" s="32"/>
      <c r="G314" s="32"/>
      <c r="H314" s="32"/>
      <c r="I314" s="32"/>
      <c r="J314" s="32"/>
      <c r="K314" s="32"/>
      <c r="L314" s="32"/>
      <c r="M314" s="32"/>
      <c r="N314" s="32"/>
      <c r="O314" s="122"/>
      <c r="P314" s="32"/>
      <c r="Q314" s="32"/>
    </row>
    <row r="315" spans="1:17">
      <c r="A315" s="71"/>
      <c r="B315" s="71"/>
      <c r="C315" s="71"/>
      <c r="D315" s="72"/>
      <c r="E315" s="72"/>
      <c r="F315" s="32"/>
      <c r="G315" s="32"/>
      <c r="H315" s="32"/>
      <c r="I315" s="32"/>
      <c r="J315" s="32"/>
      <c r="K315" s="32"/>
      <c r="L315" s="32"/>
      <c r="M315" s="32"/>
      <c r="N315" s="32"/>
      <c r="O315" s="122"/>
      <c r="P315" s="32"/>
      <c r="Q315" s="32"/>
    </row>
    <row r="316" spans="1:17">
      <c r="A316" s="71"/>
      <c r="B316" s="71"/>
      <c r="C316" s="71"/>
      <c r="D316" s="72"/>
      <c r="E316" s="72"/>
      <c r="F316" s="32"/>
      <c r="G316" s="32"/>
      <c r="H316" s="32"/>
      <c r="I316" s="32"/>
      <c r="J316" s="32"/>
      <c r="K316" s="32"/>
      <c r="L316" s="32"/>
      <c r="M316" s="32"/>
      <c r="N316" s="32"/>
      <c r="O316" s="122"/>
      <c r="P316" s="32"/>
      <c r="Q316" s="32"/>
    </row>
    <row r="317" spans="1:17">
      <c r="A317" s="71"/>
      <c r="B317" s="71"/>
      <c r="C317" s="71"/>
      <c r="D317" s="72"/>
      <c r="E317" s="72"/>
      <c r="F317" s="32"/>
      <c r="G317" s="32"/>
      <c r="H317" s="32"/>
      <c r="I317" s="32"/>
      <c r="J317" s="32"/>
      <c r="K317" s="32"/>
      <c r="L317" s="32"/>
      <c r="M317" s="32"/>
      <c r="N317" s="32"/>
      <c r="O317" s="122"/>
      <c r="P317" s="32"/>
      <c r="Q317" s="32"/>
    </row>
    <row r="318" spans="1:17">
      <c r="A318" s="71"/>
      <c r="B318" s="71"/>
      <c r="C318" s="71"/>
      <c r="D318" s="72"/>
      <c r="E318" s="72"/>
      <c r="F318" s="32"/>
      <c r="G318" s="32"/>
      <c r="H318" s="32"/>
      <c r="I318" s="32"/>
      <c r="J318" s="32"/>
      <c r="K318" s="32"/>
      <c r="L318" s="32"/>
      <c r="M318" s="32"/>
      <c r="N318" s="32"/>
      <c r="O318" s="122"/>
      <c r="P318" s="32"/>
      <c r="Q318" s="32"/>
    </row>
    <row r="319" spans="1:17">
      <c r="A319" s="71"/>
      <c r="B319" s="71"/>
      <c r="C319" s="71"/>
      <c r="D319" s="72"/>
      <c r="E319" s="72"/>
      <c r="F319" s="32"/>
      <c r="G319" s="32"/>
      <c r="H319" s="32"/>
      <c r="I319" s="32"/>
      <c r="J319" s="32"/>
      <c r="K319" s="32"/>
      <c r="L319" s="32"/>
      <c r="M319" s="32"/>
      <c r="N319" s="32"/>
      <c r="O319" s="122"/>
      <c r="P319" s="32"/>
      <c r="Q319" s="32"/>
    </row>
    <row r="320" spans="1:17">
      <c r="A320" s="71"/>
      <c r="B320" s="71"/>
      <c r="C320" s="71"/>
      <c r="D320" s="72"/>
      <c r="E320" s="72"/>
      <c r="F320" s="32"/>
      <c r="G320" s="32"/>
      <c r="H320" s="32"/>
      <c r="I320" s="32"/>
      <c r="J320" s="32"/>
      <c r="K320" s="32"/>
      <c r="L320" s="32"/>
      <c r="M320" s="32"/>
      <c r="N320" s="32"/>
      <c r="O320" s="122"/>
      <c r="P320" s="32"/>
      <c r="Q320" s="32"/>
    </row>
    <row r="321" spans="1:17">
      <c r="A321" s="71"/>
      <c r="B321" s="71"/>
      <c r="C321" s="71"/>
      <c r="D321" s="72"/>
      <c r="E321" s="72"/>
      <c r="F321" s="32"/>
      <c r="G321" s="32"/>
      <c r="H321" s="32"/>
      <c r="I321" s="32"/>
      <c r="J321" s="32"/>
      <c r="K321" s="32"/>
      <c r="L321" s="32"/>
      <c r="M321" s="32"/>
      <c r="N321" s="32"/>
      <c r="O321" s="122"/>
      <c r="P321" s="32"/>
      <c r="Q321" s="32"/>
    </row>
    <row r="322" spans="1:17">
      <c r="A322" s="71"/>
      <c r="B322" s="71"/>
      <c r="C322" s="71"/>
      <c r="D322" s="72"/>
      <c r="E322" s="72"/>
      <c r="F322" s="32"/>
      <c r="G322" s="32"/>
      <c r="H322" s="32"/>
      <c r="I322" s="32"/>
      <c r="J322" s="32"/>
      <c r="K322" s="32"/>
      <c r="L322" s="32"/>
      <c r="M322" s="32"/>
      <c r="N322" s="32"/>
      <c r="O322" s="122"/>
      <c r="P322" s="32"/>
      <c r="Q322" s="32"/>
    </row>
    <row r="323" spans="1:17">
      <c r="A323" s="71"/>
      <c r="B323" s="71"/>
      <c r="C323" s="71"/>
      <c r="D323" s="72"/>
      <c r="E323" s="72"/>
      <c r="F323" s="32"/>
      <c r="G323" s="32"/>
      <c r="H323" s="32"/>
      <c r="I323" s="32"/>
      <c r="J323" s="32"/>
      <c r="K323" s="32"/>
      <c r="L323" s="32"/>
      <c r="M323" s="32"/>
      <c r="N323" s="32"/>
      <c r="O323" s="122"/>
      <c r="P323" s="32"/>
      <c r="Q323" s="32"/>
    </row>
    <row r="324" spans="1:17">
      <c r="A324" s="71"/>
      <c r="B324" s="71"/>
      <c r="C324" s="71"/>
      <c r="D324" s="72"/>
      <c r="E324" s="72"/>
      <c r="F324" s="32"/>
      <c r="G324" s="32"/>
      <c r="H324" s="32"/>
      <c r="I324" s="32"/>
      <c r="J324" s="32"/>
      <c r="K324" s="32"/>
      <c r="L324" s="32"/>
      <c r="M324" s="32"/>
      <c r="N324" s="32"/>
      <c r="O324" s="122"/>
      <c r="P324" s="32"/>
      <c r="Q324" s="32"/>
    </row>
    <row r="325" spans="1:17">
      <c r="A325" s="71"/>
      <c r="B325" s="71"/>
      <c r="C325" s="71"/>
      <c r="D325" s="72"/>
      <c r="E325" s="72"/>
      <c r="F325" s="32"/>
      <c r="G325" s="32"/>
      <c r="H325" s="32"/>
      <c r="I325" s="32"/>
      <c r="J325" s="32"/>
      <c r="K325" s="32"/>
      <c r="L325" s="32"/>
      <c r="M325" s="32"/>
      <c r="N325" s="32"/>
      <c r="O325" s="122"/>
      <c r="P325" s="32"/>
      <c r="Q325" s="32"/>
    </row>
    <row r="326" spans="1:17">
      <c r="A326" s="71"/>
      <c r="B326" s="71"/>
      <c r="C326" s="71"/>
      <c r="D326" s="72"/>
      <c r="E326" s="72"/>
      <c r="F326" s="32"/>
      <c r="G326" s="32"/>
      <c r="H326" s="32"/>
      <c r="I326" s="32"/>
      <c r="J326" s="32"/>
      <c r="K326" s="32"/>
      <c r="L326" s="32"/>
      <c r="M326" s="32"/>
      <c r="N326" s="32"/>
      <c r="O326" s="122"/>
      <c r="P326" s="32"/>
      <c r="Q326" s="32"/>
    </row>
    <row r="327" spans="1:17">
      <c r="A327" s="71"/>
      <c r="B327" s="71"/>
      <c r="C327" s="71"/>
      <c r="D327" s="72"/>
      <c r="E327" s="72"/>
      <c r="F327" s="32"/>
      <c r="G327" s="32"/>
      <c r="H327" s="32"/>
      <c r="I327" s="32"/>
      <c r="J327" s="32"/>
      <c r="K327" s="32"/>
      <c r="L327" s="32"/>
      <c r="M327" s="32"/>
      <c r="N327" s="32"/>
      <c r="O327" s="122"/>
      <c r="P327" s="32"/>
      <c r="Q327" s="32"/>
    </row>
    <row r="328" spans="1:17">
      <c r="A328" s="71"/>
      <c r="B328" s="71"/>
      <c r="C328" s="71"/>
      <c r="D328" s="72"/>
      <c r="E328" s="72"/>
      <c r="F328" s="32"/>
      <c r="G328" s="32"/>
      <c r="H328" s="32"/>
      <c r="I328" s="32"/>
      <c r="J328" s="32"/>
      <c r="K328" s="32"/>
      <c r="L328" s="32"/>
      <c r="M328" s="32"/>
      <c r="N328" s="32"/>
      <c r="O328" s="122"/>
      <c r="P328" s="32"/>
      <c r="Q328" s="32"/>
    </row>
    <row r="329" spans="1:17">
      <c r="A329" s="71"/>
      <c r="B329" s="71"/>
      <c r="C329" s="71"/>
      <c r="D329" s="72"/>
      <c r="E329" s="72"/>
      <c r="F329" s="32"/>
      <c r="G329" s="32"/>
      <c r="H329" s="32"/>
      <c r="I329" s="32"/>
      <c r="J329" s="32"/>
      <c r="K329" s="32"/>
      <c r="L329" s="32"/>
      <c r="M329" s="32"/>
      <c r="N329" s="32"/>
      <c r="O329" s="122"/>
      <c r="P329" s="32"/>
      <c r="Q329" s="32"/>
    </row>
    <row r="330" spans="1:17">
      <c r="A330" s="71"/>
      <c r="B330" s="71"/>
      <c r="C330" s="71"/>
      <c r="D330" s="72"/>
      <c r="E330" s="72"/>
      <c r="F330" s="32"/>
      <c r="G330" s="32"/>
      <c r="H330" s="32"/>
      <c r="I330" s="32"/>
      <c r="J330" s="32"/>
      <c r="K330" s="32"/>
      <c r="L330" s="32"/>
      <c r="M330" s="32"/>
      <c r="N330" s="32"/>
      <c r="O330" s="122"/>
      <c r="P330" s="32"/>
      <c r="Q330" s="32"/>
    </row>
    <row r="331" spans="1:17">
      <c r="A331" s="71"/>
      <c r="B331" s="71"/>
      <c r="C331" s="71"/>
      <c r="D331" s="72"/>
      <c r="E331" s="72"/>
      <c r="F331" s="32"/>
      <c r="G331" s="32"/>
      <c r="H331" s="32"/>
      <c r="I331" s="32"/>
      <c r="J331" s="32"/>
      <c r="K331" s="32"/>
      <c r="L331" s="32"/>
      <c r="M331" s="32"/>
      <c r="N331" s="32"/>
      <c r="O331" s="122"/>
      <c r="P331" s="32"/>
      <c r="Q331" s="32"/>
    </row>
    <row r="332" spans="1:17">
      <c r="A332" s="71"/>
      <c r="B332" s="71"/>
      <c r="C332" s="71"/>
      <c r="D332" s="72"/>
      <c r="E332" s="72"/>
      <c r="F332" s="32"/>
      <c r="G332" s="32"/>
      <c r="H332" s="32"/>
      <c r="I332" s="32"/>
      <c r="J332" s="32"/>
      <c r="K332" s="32"/>
      <c r="L332" s="32"/>
      <c r="M332" s="32"/>
      <c r="N332" s="32"/>
      <c r="O332" s="122"/>
      <c r="P332" s="32"/>
      <c r="Q332" s="32"/>
    </row>
    <row r="333" spans="1:17">
      <c r="A333" s="71"/>
      <c r="B333" s="71"/>
      <c r="C333" s="71"/>
      <c r="D333" s="72"/>
      <c r="E333" s="72"/>
      <c r="F333" s="32"/>
      <c r="G333" s="32"/>
      <c r="H333" s="32"/>
      <c r="I333" s="32"/>
      <c r="J333" s="32"/>
      <c r="K333" s="32"/>
      <c r="L333" s="32"/>
      <c r="M333" s="32"/>
      <c r="N333" s="32"/>
      <c r="O333" s="122"/>
      <c r="P333" s="32"/>
      <c r="Q333" s="32"/>
    </row>
    <row r="334" spans="1:17">
      <c r="A334" s="71"/>
      <c r="B334" s="71"/>
      <c r="C334" s="71"/>
      <c r="D334" s="72"/>
      <c r="E334" s="72"/>
      <c r="F334" s="32"/>
      <c r="G334" s="32"/>
      <c r="H334" s="32"/>
      <c r="I334" s="32"/>
      <c r="J334" s="32"/>
      <c r="K334" s="32"/>
      <c r="L334" s="32"/>
      <c r="M334" s="32"/>
      <c r="N334" s="32"/>
      <c r="O334" s="122"/>
      <c r="P334" s="32"/>
      <c r="Q334" s="32"/>
    </row>
    <row r="335" spans="1:17">
      <c r="A335" s="71"/>
      <c r="B335" s="71"/>
      <c r="C335" s="71"/>
      <c r="D335" s="72"/>
      <c r="E335" s="72"/>
      <c r="F335" s="32"/>
      <c r="G335" s="32"/>
      <c r="H335" s="32"/>
      <c r="I335" s="32"/>
      <c r="J335" s="32"/>
      <c r="K335" s="32"/>
      <c r="L335" s="32"/>
      <c r="M335" s="32"/>
      <c r="N335" s="32"/>
      <c r="O335" s="122"/>
      <c r="P335" s="32"/>
      <c r="Q335" s="32"/>
    </row>
    <row r="336" spans="1:17">
      <c r="A336" s="71"/>
      <c r="B336" s="71"/>
      <c r="C336" s="71"/>
      <c r="D336" s="72"/>
      <c r="E336" s="72"/>
      <c r="F336" s="32"/>
      <c r="G336" s="32"/>
      <c r="H336" s="32"/>
      <c r="I336" s="32"/>
      <c r="J336" s="32"/>
      <c r="K336" s="32"/>
      <c r="L336" s="32"/>
      <c r="M336" s="32"/>
      <c r="N336" s="32"/>
      <c r="O336" s="122"/>
      <c r="P336" s="32"/>
      <c r="Q336" s="32"/>
    </row>
    <row r="337" spans="1:17">
      <c r="A337" s="71"/>
      <c r="B337" s="71"/>
      <c r="C337" s="71"/>
      <c r="D337" s="72"/>
      <c r="E337" s="72"/>
      <c r="F337" s="32"/>
      <c r="G337" s="32"/>
      <c r="H337" s="32"/>
      <c r="I337" s="32"/>
      <c r="J337" s="32"/>
      <c r="K337" s="32"/>
      <c r="L337" s="32"/>
      <c r="M337" s="32"/>
      <c r="N337" s="32"/>
      <c r="O337" s="122"/>
      <c r="P337" s="32"/>
      <c r="Q337" s="32"/>
    </row>
    <row r="338" spans="1:17">
      <c r="A338" s="71"/>
      <c r="B338" s="71"/>
      <c r="C338" s="71"/>
      <c r="D338" s="72"/>
      <c r="E338" s="72"/>
      <c r="F338" s="32"/>
      <c r="G338" s="32"/>
      <c r="H338" s="32"/>
      <c r="I338" s="32"/>
      <c r="J338" s="32"/>
      <c r="K338" s="32"/>
      <c r="L338" s="32"/>
      <c r="M338" s="32"/>
      <c r="N338" s="32"/>
      <c r="O338" s="122"/>
      <c r="P338" s="32"/>
      <c r="Q338" s="32"/>
    </row>
    <row r="339" spans="1:17">
      <c r="A339" s="71"/>
      <c r="B339" s="71"/>
      <c r="C339" s="71"/>
      <c r="D339" s="72"/>
      <c r="E339" s="72"/>
      <c r="F339" s="32"/>
      <c r="G339" s="32"/>
      <c r="H339" s="32"/>
      <c r="I339" s="32"/>
      <c r="J339" s="32"/>
      <c r="K339" s="32"/>
      <c r="L339" s="32"/>
      <c r="M339" s="32"/>
      <c r="N339" s="32"/>
      <c r="O339" s="122"/>
      <c r="P339" s="32"/>
      <c r="Q339" s="32"/>
    </row>
    <row r="340" spans="1:17">
      <c r="A340" s="71"/>
      <c r="B340" s="71"/>
      <c r="C340" s="71"/>
      <c r="D340" s="72"/>
      <c r="E340" s="72"/>
      <c r="F340" s="32"/>
      <c r="G340" s="32"/>
      <c r="H340" s="32"/>
      <c r="I340" s="32"/>
      <c r="J340" s="32"/>
      <c r="K340" s="32"/>
      <c r="L340" s="32"/>
      <c r="M340" s="32"/>
      <c r="N340" s="32"/>
      <c r="O340" s="122"/>
      <c r="P340" s="32"/>
      <c r="Q340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16"/>
    <col min="2" max="2" width="10.7109375" style="16" customWidth="1"/>
    <col min="3" max="4" width="9.140625" style="16"/>
    <col min="5" max="5" width="12.5703125" style="16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>
      <c r="A1" s="42" t="s">
        <v>51</v>
      </c>
      <c r="D1" s="22" t="s">
        <v>52</v>
      </c>
      <c r="M1" s="43" t="s">
        <v>53</v>
      </c>
      <c r="N1" s="16" t="s">
        <v>54</v>
      </c>
      <c r="O1" s="16">
        <f ca="1">H18*J18-I18*I18</f>
        <v>17351.685355447815</v>
      </c>
      <c r="P1" s="16" t="s">
        <v>168</v>
      </c>
      <c r="U1" s="7" t="s">
        <v>111</v>
      </c>
      <c r="V1" s="70" t="s">
        <v>113</v>
      </c>
      <c r="AA1" s="16">
        <v>1</v>
      </c>
      <c r="AB1" s="16" t="s">
        <v>55</v>
      </c>
    </row>
    <row r="2" spans="1:28">
      <c r="M2" s="43" t="s">
        <v>56</v>
      </c>
      <c r="N2" s="16" t="s">
        <v>57</v>
      </c>
      <c r="O2" s="16">
        <f ca="1">+F18*J18-H18*I18</f>
        <v>14557.713371900783</v>
      </c>
      <c r="P2" s="16" t="s">
        <v>169</v>
      </c>
      <c r="U2" s="16">
        <v>-0.5</v>
      </c>
      <c r="V2" s="16">
        <f ca="1">+E$4+E$5*U2+E$6*U2^2</f>
        <v>-1.8809633120348078E-2</v>
      </c>
      <c r="AA2" s="16">
        <v>2</v>
      </c>
      <c r="AB2" s="16" t="s">
        <v>58</v>
      </c>
    </row>
    <row r="3" spans="1:28" ht="13.5" thickBot="1">
      <c r="A3" s="16" t="s">
        <v>59</v>
      </c>
      <c r="B3" s="16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M3" s="43" t="s">
        <v>65</v>
      </c>
      <c r="N3" s="16" t="s">
        <v>66</v>
      </c>
      <c r="O3" s="16">
        <f ca="1">+F18*I18-H18*H18</f>
        <v>2951.6208383980556</v>
      </c>
      <c r="P3" s="16" t="s">
        <v>170</v>
      </c>
      <c r="U3" s="16">
        <v>-0.25</v>
      </c>
      <c r="V3" s="16">
        <f ca="1">+E$4+E$5*U3+E$6*U3^2</f>
        <v>-1.1318454455162098E-2</v>
      </c>
      <c r="AA3" s="16">
        <v>3</v>
      </c>
      <c r="AB3" s="16" t="s">
        <v>67</v>
      </c>
    </row>
    <row r="4" spans="1:28">
      <c r="A4" s="16" t="s">
        <v>68</v>
      </c>
      <c r="B4" s="16" t="s">
        <v>69</v>
      </c>
      <c r="D4" s="45" t="s">
        <v>70</v>
      </c>
      <c r="E4" s="46">
        <f ca="1">(G18*O1-K18*O2+L18*O3)/O7</f>
        <v>-5.1545885446833183E-3</v>
      </c>
      <c r="F4" s="47">
        <f ca="1">+E7/O7*O18</f>
        <v>1.1510273367943582E-3</v>
      </c>
      <c r="G4" s="48">
        <f>+B18</f>
        <v>1</v>
      </c>
      <c r="H4" s="49">
        <f ca="1">ABS(F4/E4)</f>
        <v>0.22330149667941609</v>
      </c>
      <c r="M4" s="43" t="s">
        <v>71</v>
      </c>
      <c r="N4" s="16" t="s">
        <v>72</v>
      </c>
      <c r="O4" s="16">
        <f ca="1">+C18*J18-H18*H18</f>
        <v>32317.970532976193</v>
      </c>
      <c r="P4" s="16" t="s">
        <v>171</v>
      </c>
      <c r="U4" s="16">
        <v>0</v>
      </c>
      <c r="V4" s="16">
        <f t="shared" ref="V4:V18" ca="1" si="0">+E$4+E$5*U4+E$6*U4^2</f>
        <v>-5.1545885446833183E-3</v>
      </c>
      <c r="AA4" s="16">
        <v>4</v>
      </c>
      <c r="AB4" s="16" t="s">
        <v>73</v>
      </c>
    </row>
    <row r="5" spans="1:28">
      <c r="A5" s="16" t="s">
        <v>74</v>
      </c>
      <c r="B5" s="50">
        <v>40323</v>
      </c>
      <c r="D5" s="51" t="s">
        <v>75</v>
      </c>
      <c r="E5" s="52">
        <f ca="1">+(-G18*O2+K18*O4-L18*O5)/O7</f>
        <v>2.2000838132500717E-2</v>
      </c>
      <c r="F5" s="53">
        <f ca="1">P18*E7/O7</f>
        <v>1.5416139445011904E-3</v>
      </c>
      <c r="G5" s="54">
        <f>+B18/A18</f>
        <v>1E-4</v>
      </c>
      <c r="H5" s="49">
        <f ca="1">ABS(F5/E5)</f>
        <v>7.0070691635326504E-2</v>
      </c>
      <c r="M5" s="43" t="s">
        <v>76</v>
      </c>
      <c r="N5" s="16" t="s">
        <v>77</v>
      </c>
      <c r="O5" s="16">
        <f ca="1">+C18*I18-F18*H18</f>
        <v>9887.3386397278373</v>
      </c>
      <c r="P5" s="16" t="s">
        <v>172</v>
      </c>
      <c r="U5" s="16">
        <v>0.25</v>
      </c>
      <c r="V5" s="16">
        <f t="shared" ca="1" si="0"/>
        <v>-3.1803538891173901E-4</v>
      </c>
      <c r="AA5" s="16">
        <v>5</v>
      </c>
      <c r="AB5" s="16" t="s">
        <v>78</v>
      </c>
    </row>
    <row r="6" spans="1:28" ht="13.5" thickBot="1">
      <c r="D6" s="55" t="s">
        <v>79</v>
      </c>
      <c r="E6" s="56">
        <f ca="1">+(G18*O3-K18*O5+L18*O6)/O7</f>
        <v>-1.0618502037657599E-2</v>
      </c>
      <c r="F6" s="57">
        <f ca="1">Q18*E7/O7</f>
        <v>4.9076332431039187E-4</v>
      </c>
      <c r="G6" s="58">
        <f>+B18/A18^2</f>
        <v>1E-8</v>
      </c>
      <c r="H6" s="49">
        <f ca="1">ABS(F6/E6)</f>
        <v>4.6217754874458013E-2</v>
      </c>
      <c r="M6" s="59" t="s">
        <v>80</v>
      </c>
      <c r="N6" s="60" t="s">
        <v>81</v>
      </c>
      <c r="O6" s="60">
        <f ca="1">+C18*H18-F18*F18</f>
        <v>3299.8934137483229</v>
      </c>
      <c r="P6" s="16" t="s">
        <v>173</v>
      </c>
      <c r="U6" s="16">
        <v>0.5</v>
      </c>
      <c r="V6" s="16">
        <f t="shared" ca="1" si="0"/>
        <v>3.1912050121526403E-3</v>
      </c>
      <c r="AA6" s="16">
        <v>6</v>
      </c>
      <c r="AB6" s="16" t="s">
        <v>82</v>
      </c>
    </row>
    <row r="7" spans="1:28">
      <c r="D7" s="22" t="s">
        <v>83</v>
      </c>
      <c r="E7" s="61">
        <f ca="1">SQRT(N18/(B15-3))</f>
        <v>3.4104857695001533E-3</v>
      </c>
      <c r="G7" s="62">
        <f>+B22</f>
        <v>-1.1222815002838615E-2</v>
      </c>
      <c r="M7" s="43" t="s">
        <v>84</v>
      </c>
      <c r="N7" s="16" t="s">
        <v>85</v>
      </c>
      <c r="O7" s="16">
        <f ca="1">+C18*O1-F18*O2+H18*O3</f>
        <v>151644.92714718462</v>
      </c>
      <c r="U7" s="16">
        <v>0.75</v>
      </c>
      <c r="V7" s="16">
        <f t="shared" ca="1" si="0"/>
        <v>5.3731326585098214E-3</v>
      </c>
      <c r="AA7" s="16">
        <v>7</v>
      </c>
      <c r="AB7" s="16" t="s">
        <v>86</v>
      </c>
    </row>
    <row r="8" spans="1:28">
      <c r="A8" s="32">
        <v>21</v>
      </c>
      <c r="B8" s="16" t="s">
        <v>91</v>
      </c>
      <c r="C8" s="119">
        <v>21</v>
      </c>
      <c r="D8" s="22" t="s">
        <v>87</v>
      </c>
      <c r="F8" s="120">
        <f ca="1">CORREL(INDIRECT(E12):INDIRECT(E13),INDIRECT(M12):INDIRECT(M13))</f>
        <v>0.95474201240429002</v>
      </c>
      <c r="G8" s="61"/>
      <c r="K8" s="62"/>
      <c r="U8" s="16">
        <v>1</v>
      </c>
      <c r="V8" s="16">
        <f t="shared" ca="1" si="0"/>
        <v>6.2277475501598002E-3</v>
      </c>
      <c r="AA8" s="16">
        <v>8</v>
      </c>
      <c r="AB8" s="16" t="s">
        <v>88</v>
      </c>
    </row>
    <row r="9" spans="1:28">
      <c r="A9" s="32">
        <f>20+COUNT(A21:A1449)</f>
        <v>91</v>
      </c>
      <c r="B9" s="16" t="s">
        <v>93</v>
      </c>
      <c r="C9" s="119">
        <f>A9</f>
        <v>91</v>
      </c>
      <c r="E9" s="63">
        <f ca="1">E6*G6</f>
        <v>-1.0618502037657599E-10</v>
      </c>
      <c r="F9" s="64">
        <f ca="1">H6</f>
        <v>4.6217754874458013E-2</v>
      </c>
      <c r="G9" s="65">
        <f ca="1">F8</f>
        <v>0.95474201240429002</v>
      </c>
      <c r="K9" s="62"/>
      <c r="U9" s="16">
        <v>1.25</v>
      </c>
      <c r="V9" s="16">
        <f t="shared" ca="1" si="0"/>
        <v>5.7550496871025779E-3</v>
      </c>
      <c r="AA9" s="16">
        <v>9</v>
      </c>
      <c r="AB9" s="16" t="s">
        <v>39</v>
      </c>
    </row>
    <row r="10" spans="1:28">
      <c r="A10" s="99" t="s">
        <v>6</v>
      </c>
      <c r="B10" s="100">
        <f>'Active 2'!C8</f>
        <v>0.35825796999999998</v>
      </c>
      <c r="D10" s="16" t="s">
        <v>162</v>
      </c>
      <c r="E10" s="16">
        <f ca="1">2*E9*365.2422/B10</f>
        <v>-2.1651018928838038E-7</v>
      </c>
      <c r="F10" s="16">
        <f ca="1">ABS(F9*E10)</f>
        <v>1.000661485635287E-8</v>
      </c>
      <c r="G10" s="16" t="s">
        <v>163</v>
      </c>
      <c r="U10" s="16">
        <v>1.5</v>
      </c>
      <c r="V10" s="16">
        <f t="shared" ca="1" si="0"/>
        <v>3.9550390693381607E-3</v>
      </c>
      <c r="AA10" s="16">
        <v>10</v>
      </c>
      <c r="AB10" s="16" t="s">
        <v>89</v>
      </c>
    </row>
    <row r="11" spans="1:28">
      <c r="U11" s="16">
        <v>1.75</v>
      </c>
      <c r="V11" s="16">
        <f t="shared" ca="1" si="0"/>
        <v>8.277156968665364E-4</v>
      </c>
      <c r="AA11" s="16">
        <v>11</v>
      </c>
      <c r="AB11" s="16" t="s">
        <v>90</v>
      </c>
    </row>
    <row r="12" spans="1:28"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16">
        <v>2</v>
      </c>
      <c r="V12" s="16">
        <f t="shared" ca="1" si="0"/>
        <v>-3.6269204303122846E-3</v>
      </c>
      <c r="AA12" s="16">
        <v>12</v>
      </c>
      <c r="AB12" s="16" t="s">
        <v>92</v>
      </c>
    </row>
    <row r="13" spans="1:28">
      <c r="C13" s="4" t="str">
        <f t="shared" si="1"/>
        <v>C91</v>
      </c>
      <c r="D13" s="4" t="str">
        <f t="shared" si="1"/>
        <v>D91</v>
      </c>
      <c r="E13" s="4" t="str">
        <f t="shared" si="1"/>
        <v>E91</v>
      </c>
      <c r="F13" s="4" t="str">
        <f t="shared" si="1"/>
        <v>F91</v>
      </c>
      <c r="G13" s="4" t="str">
        <f t="shared" si="1"/>
        <v>G91</v>
      </c>
      <c r="H13" s="4" t="str">
        <f t="shared" si="1"/>
        <v>H91</v>
      </c>
      <c r="I13" s="4" t="str">
        <f t="shared" si="1"/>
        <v>I91</v>
      </c>
      <c r="J13" s="4" t="str">
        <f t="shared" si="1"/>
        <v>J91</v>
      </c>
      <c r="K13" s="4" t="str">
        <f t="shared" si="1"/>
        <v>K91</v>
      </c>
      <c r="L13" s="4" t="str">
        <f t="shared" si="1"/>
        <v>L91</v>
      </c>
      <c r="M13" s="4" t="str">
        <f t="shared" si="1"/>
        <v>M91</v>
      </c>
      <c r="N13" s="4" t="str">
        <f t="shared" si="1"/>
        <v>N91</v>
      </c>
      <c r="O13" s="4" t="str">
        <f t="shared" si="1"/>
        <v>O91</v>
      </c>
      <c r="P13" s="4" t="str">
        <f t="shared" si="1"/>
        <v>P91</v>
      </c>
      <c r="Q13" s="4" t="str">
        <f t="shared" si="1"/>
        <v>Q91</v>
      </c>
      <c r="U13" s="16">
        <v>2.25</v>
      </c>
      <c r="V13" s="16">
        <f t="shared" ca="1" si="0"/>
        <v>-9.4088693121983022E-3</v>
      </c>
      <c r="AA13" s="16">
        <v>13</v>
      </c>
      <c r="AB13" s="16" t="s">
        <v>94</v>
      </c>
    </row>
    <row r="14" spans="1:28">
      <c r="U14" s="16">
        <v>2.5</v>
      </c>
      <c r="V14" s="16">
        <f t="shared" ca="1" si="0"/>
        <v>-1.651813094879153E-2</v>
      </c>
      <c r="AA14" s="16">
        <v>14</v>
      </c>
      <c r="AB14" s="16" t="s">
        <v>95</v>
      </c>
    </row>
    <row r="15" spans="1:28">
      <c r="A15" s="22" t="s">
        <v>99</v>
      </c>
      <c r="B15" s="22">
        <f>C9-C8+1</f>
        <v>71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U15" s="16">
        <v>2.75</v>
      </c>
      <c r="V15" s="16">
        <f t="shared" ca="1" si="0"/>
        <v>-2.4954705340091948E-2</v>
      </c>
      <c r="AA15" s="16">
        <v>15</v>
      </c>
      <c r="AB15" s="16" t="s">
        <v>96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16">
        <v>3</v>
      </c>
      <c r="V16" s="16">
        <f t="shared" ca="1" si="0"/>
        <v>-3.4718592486099563E-2</v>
      </c>
      <c r="AA16" s="16">
        <v>16</v>
      </c>
      <c r="AB16" s="16" t="s">
        <v>97</v>
      </c>
    </row>
    <row r="17" spans="1:28">
      <c r="A17" s="22" t="s">
        <v>98</v>
      </c>
      <c r="U17" s="16">
        <v>3.25</v>
      </c>
      <c r="V17" s="16">
        <f t="shared" ca="1" si="0"/>
        <v>-4.5809792386814374E-2</v>
      </c>
      <c r="AA17" s="16">
        <v>17</v>
      </c>
      <c r="AB17" s="16" t="s">
        <v>100</v>
      </c>
    </row>
    <row r="18" spans="1:28">
      <c r="A18" s="66">
        <v>10000</v>
      </c>
      <c r="B18" s="66">
        <v>1</v>
      </c>
      <c r="C18" s="16">
        <f ca="1">SUM(INDIRECT(C12):INDIRECT(C13))</f>
        <v>58.599999999999987</v>
      </c>
      <c r="D18" s="121">
        <f ca="1">SUM(INDIRECT(D12):INDIRECT(D13))</f>
        <v>148.79079999999996</v>
      </c>
      <c r="E18" s="121">
        <f ca="1">SUM(INDIRECT(E12):INDIRECT(E13))</f>
        <v>-1.1077474250778323</v>
      </c>
      <c r="F18" s="22">
        <f ca="1">SUM(INDIRECT(F12):INDIRECT(F13))</f>
        <v>124.33800500000002</v>
      </c>
      <c r="G18" s="22">
        <f ca="1">SUM(INDIRECT(G12):INDIRECT(G13))</f>
        <v>-0.96585856506280832</v>
      </c>
      <c r="H18" s="22">
        <f ca="1">SUM(INDIRECT(H12):INDIRECT(H13))</f>
        <v>320.13366725475009</v>
      </c>
      <c r="I18" s="22">
        <f ca="1">SUM(INDIRECT(I12):INDIRECT(I13))</f>
        <v>847.98839862657519</v>
      </c>
      <c r="J18" s="22">
        <f ca="1">SUM(INDIRECT(J12):INDIRECT(J13))</f>
        <v>2300.4016287193053</v>
      </c>
      <c r="K18" s="22">
        <f ca="1">SUM(INDIRECT(K12):INDIRECT(K13))</f>
        <v>-2.6020688009326118</v>
      </c>
      <c r="L18" s="22">
        <f ca="1">SUM(INDIRECT(L12):INDIRECT(L13))</f>
        <v>-7.4205212195641721</v>
      </c>
      <c r="N18" s="16">
        <f ca="1">SUM(INDIRECT(N12):INDIRECT(N13))</f>
        <v>7.9093609650948758E-4</v>
      </c>
      <c r="O18" s="16">
        <f ca="1">SQRT(SUM(INDIRECT(O12):INDIRECT(O13)))</f>
        <v>51179.64666311461</v>
      </c>
      <c r="P18" s="16">
        <f ca="1">SQRT(SUM(INDIRECT(P12):INDIRECT(P13)))</f>
        <v>68546.814179268607</v>
      </c>
      <c r="Q18" s="16">
        <f ca="1">SQRT(SUM(INDIRECT(Q12):INDIRECT(Q13)))</f>
        <v>21821.456998035472</v>
      </c>
      <c r="U18" s="16">
        <v>3.5</v>
      </c>
      <c r="V18" s="16">
        <f t="shared" ca="1" si="0"/>
        <v>-5.8228305042236389E-2</v>
      </c>
      <c r="AA18" s="16">
        <v>18</v>
      </c>
      <c r="AB18" s="16" t="s">
        <v>101</v>
      </c>
    </row>
    <row r="19" spans="1:28">
      <c r="A19" s="67" t="s">
        <v>102</v>
      </c>
      <c r="F19" s="68" t="s">
        <v>103</v>
      </c>
      <c r="G19" s="68" t="s">
        <v>104</v>
      </c>
      <c r="H19" s="68" t="s">
        <v>105</v>
      </c>
      <c r="I19" s="68" t="s">
        <v>106</v>
      </c>
      <c r="J19" s="68" t="s">
        <v>107</v>
      </c>
      <c r="K19" s="68" t="s">
        <v>108</v>
      </c>
      <c r="L19" s="68" t="s">
        <v>109</v>
      </c>
      <c r="M19" s="69"/>
      <c r="N19" s="69"/>
      <c r="O19" s="69"/>
      <c r="P19" s="69"/>
      <c r="Q19" s="69"/>
      <c r="AA19" s="16">
        <v>19</v>
      </c>
      <c r="AB19" s="16" t="s">
        <v>110</v>
      </c>
    </row>
    <row r="20" spans="1:28" ht="15" thickBot="1">
      <c r="A20" s="7" t="s">
        <v>111</v>
      </c>
      <c r="B20" s="7" t="s">
        <v>112</v>
      </c>
      <c r="C20" s="7" t="s">
        <v>164</v>
      </c>
      <c r="D20" s="7" t="s">
        <v>111</v>
      </c>
      <c r="E20" s="7" t="s">
        <v>112</v>
      </c>
      <c r="F20" s="7" t="s">
        <v>165</v>
      </c>
      <c r="G20" s="7" t="s">
        <v>166</v>
      </c>
      <c r="H20" s="7" t="s">
        <v>174</v>
      </c>
      <c r="I20" s="7" t="s">
        <v>175</v>
      </c>
      <c r="J20" s="7" t="s">
        <v>176</v>
      </c>
      <c r="K20" s="7" t="s">
        <v>167</v>
      </c>
      <c r="L20" s="7" t="s">
        <v>177</v>
      </c>
      <c r="M20" s="70" t="s">
        <v>113</v>
      </c>
      <c r="N20" s="7" t="s">
        <v>114</v>
      </c>
      <c r="O20" s="7" t="s">
        <v>115</v>
      </c>
      <c r="P20" s="7" t="s">
        <v>116</v>
      </c>
      <c r="Q20" s="7" t="s">
        <v>117</v>
      </c>
      <c r="R20" s="44" t="s">
        <v>118</v>
      </c>
      <c r="AA20" s="16">
        <v>20</v>
      </c>
      <c r="AB20" s="16" t="s">
        <v>119</v>
      </c>
    </row>
    <row r="21" spans="1:28">
      <c r="A21" s="71">
        <v>-1177.5</v>
      </c>
      <c r="B21" s="71">
        <v>-1.0940325002593454E-2</v>
      </c>
      <c r="C21" s="80">
        <v>1</v>
      </c>
      <c r="D21" s="72">
        <f>A21/A$18</f>
        <v>-0.11774999999999999</v>
      </c>
      <c r="E21" s="72">
        <f>B21/B$18</f>
        <v>-1.0940325002593454E-2</v>
      </c>
      <c r="F21" s="32">
        <f>$C21*D21</f>
        <v>-0.11774999999999999</v>
      </c>
      <c r="G21" s="32">
        <f>$C21*E21</f>
        <v>-1.0940325002593454E-2</v>
      </c>
      <c r="H21" s="32">
        <f>C21*D21*D21</f>
        <v>1.3865062499999999E-2</v>
      </c>
      <c r="I21" s="32">
        <f>C21*D21*D21*D21</f>
        <v>-1.6326111093749997E-3</v>
      </c>
      <c r="J21" s="32">
        <f>C21*D21*D21*D21*D21</f>
        <v>1.9223995812890621E-4</v>
      </c>
      <c r="K21" s="32">
        <f>C21*E21*D21</f>
        <v>1.2882232690553791E-3</v>
      </c>
      <c r="L21" s="32">
        <f>C21*E21*D21*D21</f>
        <v>-1.5168828993127089E-4</v>
      </c>
      <c r="M21" s="32">
        <f t="shared" ref="M21:M84" ca="1" si="4">+E$4+E$5*D21+E$6*D21^2</f>
        <v>-7.8924134291937769E-3</v>
      </c>
      <c r="N21" s="32">
        <f ca="1">C21*(M21-E21)^2</f>
        <v>9.2897649592636949E-6</v>
      </c>
      <c r="O21" s="122">
        <f ca="1">(C21*O$1-O$2*F21+O$3*H21)^2</f>
        <v>365069061.5486396</v>
      </c>
      <c r="P21" s="32">
        <f ca="1">(-C21*O$2+O$4*F21-O$5*H21)^2</f>
        <v>342258989.96225172</v>
      </c>
      <c r="Q21" s="32">
        <f ca="1">+(C21*O$3-F21*O$5+H21*O$6)^2</f>
        <v>17318982.740816437</v>
      </c>
      <c r="R21" s="16">
        <f t="shared" ref="R21:R84" ca="1" si="5">+E21-M21</f>
        <v>-3.0479115733996771E-3</v>
      </c>
      <c r="AA21" s="16">
        <v>21</v>
      </c>
      <c r="AB21" s="16" t="s">
        <v>120</v>
      </c>
    </row>
    <row r="22" spans="1:28">
      <c r="A22" s="71">
        <v>-1060.5</v>
      </c>
      <c r="B22" s="71">
        <v>-1.1222815002838615E-2</v>
      </c>
      <c r="C22" s="71">
        <v>1</v>
      </c>
      <c r="D22" s="72">
        <f t="shared" ref="D22:E85" si="6">A22/A$18</f>
        <v>-0.10605000000000001</v>
      </c>
      <c r="E22" s="72">
        <f t="shared" si="6"/>
        <v>-1.1222815002838615E-2</v>
      </c>
      <c r="F22" s="32">
        <f t="shared" ref="F22:G85" si="7">$C22*D22</f>
        <v>-0.10605000000000001</v>
      </c>
      <c r="G22" s="32">
        <f t="shared" si="7"/>
        <v>-1.1222815002838615E-2</v>
      </c>
      <c r="H22" s="32">
        <f t="shared" ref="H22:H85" si="8">C22*D22*D22</f>
        <v>1.1246602500000001E-2</v>
      </c>
      <c r="I22" s="32">
        <f t="shared" ref="I22:I85" si="9">C22*D22*D22*D22</f>
        <v>-1.1927021951250003E-3</v>
      </c>
      <c r="J22" s="32">
        <f t="shared" ref="J22:J85" si="10">C22*D22*D22*D22*D22</f>
        <v>1.264860677930063E-4</v>
      </c>
      <c r="K22" s="32">
        <f t="shared" ref="K22:K85" si="11">C22*E22*D22</f>
        <v>1.1901795310510352E-3</v>
      </c>
      <c r="L22" s="32">
        <f t="shared" ref="L22:L85" si="12">C22*E22*D22*D22</f>
        <v>-1.2621853926796228E-4</v>
      </c>
      <c r="M22" s="32">
        <f t="shared" ca="1" si="4"/>
        <v>-7.6071995001979944E-3</v>
      </c>
      <c r="N22" s="32">
        <f t="shared" ref="N22:N85" ca="1" si="13">C22*(M22-E22)^2</f>
        <v>1.3072675462935191E-5</v>
      </c>
      <c r="O22" s="122">
        <f t="shared" ref="O22:O85" ca="1" si="14">(C22*O$1-O$2*F22+O$3*H22)^2</f>
        <v>358296689.3664065</v>
      </c>
      <c r="P22" s="32">
        <f t="shared" ref="P22:P85" ca="1" si="15">(-C22*O$2+O$4*F22-O$5*H22)^2</f>
        <v>327473652.93023002</v>
      </c>
      <c r="Q22" s="32">
        <f t="shared" ref="Q22:Q85" ca="1" si="16">+(C22*O$3-F22*O$5+H22*O$6)^2</f>
        <v>16299675.747991748</v>
      </c>
      <c r="R22" s="16">
        <f t="shared" ca="1" si="5"/>
        <v>-3.6156155026406209E-3</v>
      </c>
      <c r="AA22" s="16">
        <v>22</v>
      </c>
      <c r="AB22" s="16" t="s">
        <v>121</v>
      </c>
    </row>
    <row r="23" spans="1:28">
      <c r="A23" s="71">
        <v>-250.5</v>
      </c>
      <c r="B23" s="71">
        <v>-5.8785149958566763E-3</v>
      </c>
      <c r="C23" s="71">
        <v>1</v>
      </c>
      <c r="D23" s="72">
        <f t="shared" si="6"/>
        <v>-2.5049999999999999E-2</v>
      </c>
      <c r="E23" s="72">
        <f t="shared" si="6"/>
        <v>-5.8785149958566763E-3</v>
      </c>
      <c r="F23" s="32">
        <f t="shared" si="7"/>
        <v>-2.5049999999999999E-2</v>
      </c>
      <c r="G23" s="32">
        <f t="shared" si="7"/>
        <v>-5.8785149958566763E-3</v>
      </c>
      <c r="H23" s="32">
        <f t="shared" si="8"/>
        <v>6.275025E-4</v>
      </c>
      <c r="I23" s="32">
        <f t="shared" si="9"/>
        <v>-1.5718937624999998E-5</v>
      </c>
      <c r="J23" s="32">
        <f t="shared" si="10"/>
        <v>3.9375938750624994E-7</v>
      </c>
      <c r="K23" s="32">
        <f t="shared" si="11"/>
        <v>1.4725680064620975E-4</v>
      </c>
      <c r="L23" s="32">
        <f t="shared" si="12"/>
        <v>-3.6887828561875541E-6</v>
      </c>
      <c r="M23" s="32">
        <f t="shared" ca="1" si="4"/>
        <v>-5.7123726764773466E-3</v>
      </c>
      <c r="N23" s="32">
        <f t="shared" ca="1" si="13"/>
        <v>2.7603270288743161E-8</v>
      </c>
      <c r="O23" s="122">
        <f t="shared" ca="1" si="14"/>
        <v>313934902.69981813</v>
      </c>
      <c r="P23" s="32">
        <f t="shared" ca="1" si="15"/>
        <v>236343975.35330158</v>
      </c>
      <c r="Q23" s="32">
        <f t="shared" ca="1" si="16"/>
        <v>10248765.796370808</v>
      </c>
      <c r="R23" s="16">
        <f t="shared" ca="1" si="5"/>
        <v>-1.6614231937932961E-4</v>
      </c>
      <c r="AA23" s="16">
        <v>23</v>
      </c>
      <c r="AB23" s="16" t="s">
        <v>122</v>
      </c>
    </row>
    <row r="24" spans="1:28">
      <c r="A24" s="71">
        <v>-3</v>
      </c>
      <c r="B24" s="71">
        <v>-5.0260900025023147E-3</v>
      </c>
      <c r="C24" s="71">
        <v>1</v>
      </c>
      <c r="D24" s="72">
        <f t="shared" si="6"/>
        <v>-2.9999999999999997E-4</v>
      </c>
      <c r="E24" s="72">
        <f t="shared" si="6"/>
        <v>-5.0260900025023147E-3</v>
      </c>
      <c r="F24" s="32">
        <f t="shared" si="7"/>
        <v>-2.9999999999999997E-4</v>
      </c>
      <c r="G24" s="32">
        <f t="shared" si="7"/>
        <v>-5.0260900025023147E-3</v>
      </c>
      <c r="H24" s="32">
        <f t="shared" si="8"/>
        <v>8.9999999999999985E-8</v>
      </c>
      <c r="I24" s="32">
        <f t="shared" si="9"/>
        <v>-2.6999999999999994E-11</v>
      </c>
      <c r="J24" s="32">
        <f t="shared" si="10"/>
        <v>8.0999999999999967E-15</v>
      </c>
      <c r="K24" s="32">
        <f t="shared" si="11"/>
        <v>1.5078270007506943E-6</v>
      </c>
      <c r="L24" s="32">
        <f t="shared" si="12"/>
        <v>-4.5234810022520825E-10</v>
      </c>
      <c r="M24" s="32">
        <f t="shared" ca="1" si="4"/>
        <v>-5.1611897517882515E-3</v>
      </c>
      <c r="N24" s="32">
        <f t="shared" ca="1" si="13"/>
        <v>1.8251942257122967E-8</v>
      </c>
      <c r="O24" s="122">
        <f t="shared" ca="1" si="14"/>
        <v>301232573.48617595</v>
      </c>
      <c r="P24" s="32">
        <f t="shared" ca="1" si="15"/>
        <v>212209423.99602038</v>
      </c>
      <c r="Q24" s="32">
        <f t="shared" ca="1" si="16"/>
        <v>8729586.3318448216</v>
      </c>
      <c r="R24" s="16">
        <f t="shared" ca="1" si="5"/>
        <v>1.3509974928593675E-4</v>
      </c>
      <c r="AA24" s="16">
        <v>24</v>
      </c>
      <c r="AB24" s="16" t="s">
        <v>111</v>
      </c>
    </row>
    <row r="25" spans="1:28">
      <c r="A25" s="71">
        <v>0</v>
      </c>
      <c r="B25" s="71">
        <v>-5.0000000046566129E-3</v>
      </c>
      <c r="C25" s="71">
        <v>1</v>
      </c>
      <c r="D25" s="72">
        <f t="shared" si="6"/>
        <v>0</v>
      </c>
      <c r="E25" s="72">
        <f t="shared" si="6"/>
        <v>-5.0000000046566129E-3</v>
      </c>
      <c r="F25" s="32">
        <f t="shared" si="7"/>
        <v>0</v>
      </c>
      <c r="G25" s="32">
        <f t="shared" si="7"/>
        <v>-5.0000000046566129E-3</v>
      </c>
      <c r="H25" s="32">
        <f t="shared" si="8"/>
        <v>0</v>
      </c>
      <c r="I25" s="32">
        <f t="shared" si="9"/>
        <v>0</v>
      </c>
      <c r="J25" s="32">
        <f t="shared" si="10"/>
        <v>0</v>
      </c>
      <c r="K25" s="32">
        <f t="shared" si="11"/>
        <v>0</v>
      </c>
      <c r="L25" s="32">
        <f t="shared" si="12"/>
        <v>0</v>
      </c>
      <c r="M25" s="32">
        <f t="shared" ca="1" si="4"/>
        <v>-5.1545885446833183E-3</v>
      </c>
      <c r="N25" s="32">
        <f t="shared" ca="1" si="13"/>
        <v>2.3897616707588302E-8</v>
      </c>
      <c r="O25" s="122">
        <f t="shared" ca="1" si="14"/>
        <v>301080984.67446214</v>
      </c>
      <c r="P25" s="32">
        <f t="shared" ca="1" si="15"/>
        <v>211927018.61841887</v>
      </c>
      <c r="Q25" s="32">
        <f t="shared" ca="1" si="16"/>
        <v>8712065.5736656412</v>
      </c>
      <c r="R25" s="16">
        <f t="shared" ca="1" si="5"/>
        <v>1.5458854002670542E-4</v>
      </c>
      <c r="AA25" s="16">
        <v>25</v>
      </c>
      <c r="AB25" s="16" t="s">
        <v>112</v>
      </c>
    </row>
    <row r="26" spans="1:28">
      <c r="A26" s="71">
        <v>3</v>
      </c>
      <c r="B26" s="71">
        <v>-4.6739099998376332E-3</v>
      </c>
      <c r="C26" s="71">
        <v>1</v>
      </c>
      <c r="D26" s="72">
        <f t="shared" si="6"/>
        <v>2.9999999999999997E-4</v>
      </c>
      <c r="E26" s="72">
        <f t="shared" si="6"/>
        <v>-4.6739099998376332E-3</v>
      </c>
      <c r="F26" s="32">
        <f t="shared" si="7"/>
        <v>2.9999999999999997E-4</v>
      </c>
      <c r="G26" s="32">
        <f t="shared" si="7"/>
        <v>-4.6739099998376332E-3</v>
      </c>
      <c r="H26" s="32">
        <f t="shared" si="8"/>
        <v>8.9999999999999985E-8</v>
      </c>
      <c r="I26" s="32">
        <f t="shared" si="9"/>
        <v>2.6999999999999994E-11</v>
      </c>
      <c r="J26" s="32">
        <f t="shared" si="10"/>
        <v>8.0999999999999967E-15</v>
      </c>
      <c r="K26" s="32">
        <f t="shared" si="11"/>
        <v>-1.4021729999512899E-6</v>
      </c>
      <c r="L26" s="32">
        <f t="shared" si="12"/>
        <v>-4.2065189998538695E-10</v>
      </c>
      <c r="M26" s="32">
        <f t="shared" ca="1" si="4"/>
        <v>-5.1479892489087516E-3</v>
      </c>
      <c r="N26" s="32">
        <f t="shared" ca="1" si="13"/>
        <v>2.2475113439983553E-7</v>
      </c>
      <c r="O26" s="122">
        <f t="shared" ca="1" si="14"/>
        <v>300929452.44722641</v>
      </c>
      <c r="P26" s="32">
        <f t="shared" ca="1" si="15"/>
        <v>211644853.05937353</v>
      </c>
      <c r="Q26" s="32">
        <f t="shared" ca="1" si="16"/>
        <v>8694565.9186027031</v>
      </c>
      <c r="R26" s="16">
        <f t="shared" ca="1" si="5"/>
        <v>4.7407924907111841E-4</v>
      </c>
      <c r="AA26" s="16">
        <v>26</v>
      </c>
      <c r="AB26" s="16" t="s">
        <v>123</v>
      </c>
    </row>
    <row r="27" spans="1:28">
      <c r="A27" s="71">
        <v>5.5</v>
      </c>
      <c r="B27" s="71">
        <v>-5.1188350043958053E-3</v>
      </c>
      <c r="C27" s="71">
        <v>1</v>
      </c>
      <c r="D27" s="72">
        <f t="shared" si="6"/>
        <v>5.5000000000000003E-4</v>
      </c>
      <c r="E27" s="72">
        <f t="shared" si="6"/>
        <v>-5.1188350043958053E-3</v>
      </c>
      <c r="F27" s="32">
        <f t="shared" si="7"/>
        <v>5.5000000000000003E-4</v>
      </c>
      <c r="G27" s="32">
        <f t="shared" si="7"/>
        <v>-5.1188350043958053E-3</v>
      </c>
      <c r="H27" s="32">
        <f t="shared" si="8"/>
        <v>3.0250000000000002E-7</v>
      </c>
      <c r="I27" s="32">
        <f t="shared" si="9"/>
        <v>1.6637500000000001E-10</v>
      </c>
      <c r="J27" s="32">
        <f t="shared" si="10"/>
        <v>9.1506250000000012E-14</v>
      </c>
      <c r="K27" s="32">
        <f t="shared" si="11"/>
        <v>-2.8153592524176929E-6</v>
      </c>
      <c r="L27" s="32">
        <f t="shared" si="12"/>
        <v>-1.5484475888297311E-9</v>
      </c>
      <c r="M27" s="32">
        <f t="shared" ca="1" si="4"/>
        <v>-5.1424912958073091E-3</v>
      </c>
      <c r="N27" s="32">
        <f t="shared" ca="1" si="13"/>
        <v>5.5962012334598879E-10</v>
      </c>
      <c r="O27" s="122">
        <f t="shared" ca="1" si="14"/>
        <v>300803218.80540746</v>
      </c>
      <c r="P27" s="32">
        <f t="shared" ca="1" si="15"/>
        <v>211409898.21354684</v>
      </c>
      <c r="Q27" s="32">
        <f t="shared" ca="1" si="16"/>
        <v>8679998.9855270423</v>
      </c>
      <c r="R27" s="16">
        <f t="shared" ca="1" si="5"/>
        <v>2.3656291411503806E-5</v>
      </c>
    </row>
    <row r="28" spans="1:28">
      <c r="A28" s="71">
        <v>5.5</v>
      </c>
      <c r="B28" s="71">
        <v>-5.1188350043958053E-3</v>
      </c>
      <c r="C28" s="71">
        <v>1</v>
      </c>
      <c r="D28" s="72">
        <f t="shared" si="6"/>
        <v>5.5000000000000003E-4</v>
      </c>
      <c r="E28" s="72">
        <f t="shared" si="6"/>
        <v>-5.1188350043958053E-3</v>
      </c>
      <c r="F28" s="32">
        <f t="shared" si="7"/>
        <v>5.5000000000000003E-4</v>
      </c>
      <c r="G28" s="32">
        <f t="shared" si="7"/>
        <v>-5.1188350043958053E-3</v>
      </c>
      <c r="H28" s="32">
        <f t="shared" si="8"/>
        <v>3.0250000000000002E-7</v>
      </c>
      <c r="I28" s="32">
        <f t="shared" si="9"/>
        <v>1.6637500000000001E-10</v>
      </c>
      <c r="J28" s="32">
        <f t="shared" si="10"/>
        <v>9.1506250000000012E-14</v>
      </c>
      <c r="K28" s="32">
        <f t="shared" si="11"/>
        <v>-2.8153592524176929E-6</v>
      </c>
      <c r="L28" s="32">
        <f t="shared" si="12"/>
        <v>-1.5484475888297311E-9</v>
      </c>
      <c r="M28" s="32">
        <f t="shared" ca="1" si="4"/>
        <v>-5.1424912958073091E-3</v>
      </c>
      <c r="N28" s="32">
        <f t="shared" ca="1" si="13"/>
        <v>5.5962012334598879E-10</v>
      </c>
      <c r="O28" s="122">
        <f t="shared" ca="1" si="14"/>
        <v>300803218.80540746</v>
      </c>
      <c r="P28" s="32">
        <f t="shared" ca="1" si="15"/>
        <v>211409898.21354684</v>
      </c>
      <c r="Q28" s="32">
        <f t="shared" ca="1" si="16"/>
        <v>8679998.9855270423</v>
      </c>
      <c r="R28" s="16">
        <f t="shared" ca="1" si="5"/>
        <v>2.3656291411503806E-5</v>
      </c>
    </row>
    <row r="29" spans="1:28">
      <c r="A29" s="71">
        <v>9202.5</v>
      </c>
      <c r="B29" s="71">
        <v>-3.968925004301127E-3</v>
      </c>
      <c r="C29" s="71">
        <v>0.1</v>
      </c>
      <c r="D29" s="72">
        <f t="shared" si="6"/>
        <v>0.92025000000000001</v>
      </c>
      <c r="E29" s="72">
        <f t="shared" si="6"/>
        <v>-3.968925004301127E-3</v>
      </c>
      <c r="F29" s="32">
        <f t="shared" si="7"/>
        <v>9.202500000000001E-2</v>
      </c>
      <c r="G29" s="32">
        <f t="shared" si="7"/>
        <v>-3.9689250043011275E-4</v>
      </c>
      <c r="H29" s="32">
        <f t="shared" si="8"/>
        <v>8.4686006250000015E-2</v>
      </c>
      <c r="I29" s="32">
        <f t="shared" si="9"/>
        <v>7.7932297251562518E-2</v>
      </c>
      <c r="J29" s="32">
        <f t="shared" si="10"/>
        <v>7.1717196545750414E-2</v>
      </c>
      <c r="K29" s="32">
        <f t="shared" si="11"/>
        <v>-3.6524032352081123E-4</v>
      </c>
      <c r="L29" s="32">
        <f t="shared" si="12"/>
        <v>-3.3611240772002653E-4</v>
      </c>
      <c r="M29" s="32">
        <f t="shared" ca="1" si="4"/>
        <v>6.0992974474833768E-3</v>
      </c>
      <c r="N29" s="32">
        <f t="shared" ca="1" si="13"/>
        <v>1.0136910333861758E-5</v>
      </c>
      <c r="O29" s="122">
        <f t="shared" ca="1" si="14"/>
        <v>416613.37469458749</v>
      </c>
      <c r="P29" s="32">
        <f t="shared" ca="1" si="15"/>
        <v>463721.06602162868</v>
      </c>
      <c r="Q29" s="32">
        <f t="shared" ca="1" si="16"/>
        <v>112402.92881661178</v>
      </c>
      <c r="R29" s="16">
        <f t="shared" ca="1" si="5"/>
        <v>-1.0068222451784504E-2</v>
      </c>
    </row>
    <row r="30" spans="1:28">
      <c r="A30" s="71">
        <v>9227.5</v>
      </c>
      <c r="B30" s="71">
        <v>-2.4181750050047413E-3</v>
      </c>
      <c r="C30" s="71">
        <v>0.1</v>
      </c>
      <c r="D30" s="72">
        <f t="shared" si="6"/>
        <v>0.92274999999999996</v>
      </c>
      <c r="E30" s="72">
        <f t="shared" si="6"/>
        <v>-2.4181750050047413E-3</v>
      </c>
      <c r="F30" s="32">
        <f t="shared" si="7"/>
        <v>9.2274999999999996E-2</v>
      </c>
      <c r="G30" s="32">
        <f t="shared" si="7"/>
        <v>-2.4181750050047415E-4</v>
      </c>
      <c r="H30" s="32">
        <f t="shared" si="8"/>
        <v>8.5146756249999997E-2</v>
      </c>
      <c r="I30" s="32">
        <f t="shared" si="9"/>
        <v>7.8569169329687494E-2</v>
      </c>
      <c r="J30" s="32">
        <f t="shared" si="10"/>
        <v>7.249970099896913E-2</v>
      </c>
      <c r="K30" s="32">
        <f t="shared" si="11"/>
        <v>-2.231370985868125E-4</v>
      </c>
      <c r="L30" s="32">
        <f t="shared" si="12"/>
        <v>-2.0589975772098123E-4</v>
      </c>
      <c r="M30" s="32">
        <f t="shared" ca="1" si="4"/>
        <v>6.1053747946761185E-3</v>
      </c>
      <c r="N30" s="32">
        <f t="shared" ca="1" si="13"/>
        <v>7.2650901187639628E-6</v>
      </c>
      <c r="O30" s="122">
        <f t="shared" ca="1" si="14"/>
        <v>413675.97699281899</v>
      </c>
      <c r="P30" s="32">
        <f t="shared" ca="1" si="15"/>
        <v>468532.83090114378</v>
      </c>
      <c r="Q30" s="32">
        <f t="shared" ca="1" si="16"/>
        <v>113041.78299321802</v>
      </c>
      <c r="R30" s="16">
        <f t="shared" ca="1" si="5"/>
        <v>-8.5235497996808598E-3</v>
      </c>
    </row>
    <row r="31" spans="1:28">
      <c r="A31" s="71">
        <v>9305.5</v>
      </c>
      <c r="B31" s="71">
        <v>-3.5398350009927526E-3</v>
      </c>
      <c r="C31" s="71">
        <v>0.1</v>
      </c>
      <c r="D31" s="72">
        <f t="shared" si="6"/>
        <v>0.93054999999999999</v>
      </c>
      <c r="E31" s="72">
        <f t="shared" si="6"/>
        <v>-3.5398350009927526E-3</v>
      </c>
      <c r="F31" s="32">
        <f t="shared" si="7"/>
        <v>9.3054999999999999E-2</v>
      </c>
      <c r="G31" s="32">
        <f t="shared" si="7"/>
        <v>-3.5398350009927529E-4</v>
      </c>
      <c r="H31" s="32">
        <f t="shared" si="8"/>
        <v>8.6592330250000002E-2</v>
      </c>
      <c r="I31" s="32">
        <f t="shared" si="9"/>
        <v>8.0578492914137503E-2</v>
      </c>
      <c r="J31" s="32">
        <f t="shared" si="10"/>
        <v>7.4982316581250652E-2</v>
      </c>
      <c r="K31" s="32">
        <f t="shared" si="11"/>
        <v>-3.2939934601738062E-4</v>
      </c>
      <c r="L31" s="32">
        <f t="shared" si="12"/>
        <v>-3.0652256143647353E-4</v>
      </c>
      <c r="M31" s="32">
        <f t="shared" ca="1" si="4"/>
        <v>6.1234830274637785E-3</v>
      </c>
      <c r="N31" s="32">
        <f t="shared" ca="1" si="13"/>
        <v>9.337971531909303E-6</v>
      </c>
      <c r="O31" s="122">
        <f t="shared" ca="1" si="14"/>
        <v>404608.25432534888</v>
      </c>
      <c r="P31" s="32">
        <f t="shared" ca="1" si="15"/>
        <v>483594.67584867618</v>
      </c>
      <c r="Q31" s="32">
        <f t="shared" ca="1" si="16"/>
        <v>115028.65974124528</v>
      </c>
      <c r="R31" s="16">
        <f t="shared" ca="1" si="5"/>
        <v>-9.6633180284565311E-3</v>
      </c>
    </row>
    <row r="32" spans="1:28">
      <c r="A32" s="71">
        <v>9903.5</v>
      </c>
      <c r="B32" s="71">
        <v>1.8294104993401561E-2</v>
      </c>
      <c r="C32" s="71">
        <v>1</v>
      </c>
      <c r="D32" s="72">
        <f t="shared" si="6"/>
        <v>0.99034999999999995</v>
      </c>
      <c r="E32" s="72">
        <f t="shared" si="6"/>
        <v>1.8294104993401561E-2</v>
      </c>
      <c r="F32" s="32">
        <f t="shared" si="7"/>
        <v>0.99034999999999995</v>
      </c>
      <c r="G32" s="32">
        <f t="shared" si="7"/>
        <v>1.8294104993401561E-2</v>
      </c>
      <c r="H32" s="32">
        <f t="shared" si="8"/>
        <v>0.98079312249999995</v>
      </c>
      <c r="I32" s="32">
        <f t="shared" si="9"/>
        <v>0.97132846886787494</v>
      </c>
      <c r="J32" s="32">
        <f t="shared" si="10"/>
        <v>0.96195514914329994</v>
      </c>
      <c r="K32" s="32">
        <f t="shared" si="11"/>
        <v>1.8117566880215236E-2</v>
      </c>
      <c r="L32" s="32">
        <f t="shared" si="12"/>
        <v>1.7942732359821158E-2</v>
      </c>
      <c r="M32" s="32">
        <f t="shared" ca="1" si="4"/>
        <v>6.219387730051958E-3</v>
      </c>
      <c r="N32" s="32">
        <f t="shared" ca="1" si="13"/>
        <v>1.4579879698983292E-4</v>
      </c>
      <c r="O32" s="122">
        <f t="shared" ca="1" si="14"/>
        <v>33981710.079367921</v>
      </c>
      <c r="P32" s="32">
        <f t="shared" ca="1" si="15"/>
        <v>60077303.532298446</v>
      </c>
      <c r="Q32" s="32">
        <f t="shared" ca="1" si="16"/>
        <v>12987318.352456246</v>
      </c>
      <c r="R32" s="16">
        <f t="shared" ca="1" si="5"/>
        <v>1.2074717263349603E-2</v>
      </c>
    </row>
    <row r="33" spans="1:18">
      <c r="A33" s="71">
        <v>10360.5</v>
      </c>
      <c r="B33" s="71">
        <v>1.0301814996637404E-2</v>
      </c>
      <c r="C33" s="71">
        <v>1</v>
      </c>
      <c r="D33" s="72">
        <f t="shared" si="6"/>
        <v>1.0360499999999999</v>
      </c>
      <c r="E33" s="72">
        <f t="shared" si="6"/>
        <v>1.0301814996637404E-2</v>
      </c>
      <c r="F33" s="32">
        <f t="shared" si="7"/>
        <v>1.0360499999999999</v>
      </c>
      <c r="G33" s="32">
        <f t="shared" si="7"/>
        <v>1.0301814996637404E-2</v>
      </c>
      <c r="H33" s="32">
        <f t="shared" si="8"/>
        <v>1.0733996024999999</v>
      </c>
      <c r="I33" s="32">
        <f t="shared" si="9"/>
        <v>1.1120956581701247</v>
      </c>
      <c r="J33" s="32">
        <f t="shared" si="10"/>
        <v>1.1521867066471576</v>
      </c>
      <c r="K33" s="32">
        <f t="shared" si="11"/>
        <v>1.0673195427266181E-2</v>
      </c>
      <c r="L33" s="32">
        <f t="shared" si="12"/>
        <v>1.1057964122419125E-2</v>
      </c>
      <c r="M33" s="32">
        <f t="shared" ca="1" si="4"/>
        <v>6.2414839361269406E-3</v>
      </c>
      <c r="N33" s="32">
        <f t="shared" ca="1" si="13"/>
        <v>1.6486288320946024E-5</v>
      </c>
      <c r="O33" s="122">
        <f t="shared" ca="1" si="14"/>
        <v>29565699.935552895</v>
      </c>
      <c r="P33" s="32">
        <f t="shared" ca="1" si="15"/>
        <v>69093577.085865632</v>
      </c>
      <c r="Q33" s="32">
        <f t="shared" ca="1" si="16"/>
        <v>14062890.607828543</v>
      </c>
      <c r="R33" s="16">
        <f t="shared" ca="1" si="5"/>
        <v>4.0603310605104633E-3</v>
      </c>
    </row>
    <row r="34" spans="1:18">
      <c r="A34" s="71">
        <v>17593</v>
      </c>
      <c r="B34" s="71">
        <v>2.2337900009006262E-3</v>
      </c>
      <c r="C34" s="71">
        <v>1</v>
      </c>
      <c r="D34" s="72">
        <f t="shared" si="6"/>
        <v>1.7593000000000001</v>
      </c>
      <c r="E34" s="72">
        <f t="shared" si="6"/>
        <v>2.2337900009006262E-3</v>
      </c>
      <c r="F34" s="32">
        <f t="shared" si="7"/>
        <v>1.7593000000000001</v>
      </c>
      <c r="G34" s="32">
        <f t="shared" si="7"/>
        <v>2.2337900009006262E-3</v>
      </c>
      <c r="H34" s="32">
        <f t="shared" si="8"/>
        <v>3.0951364900000002</v>
      </c>
      <c r="I34" s="32">
        <f t="shared" si="9"/>
        <v>5.4452736268570003</v>
      </c>
      <c r="J34" s="32">
        <f t="shared" si="10"/>
        <v>9.5798698917295209</v>
      </c>
      <c r="K34" s="32">
        <f t="shared" si="11"/>
        <v>3.9299067485844717E-3</v>
      </c>
      <c r="L34" s="32">
        <f t="shared" si="12"/>
        <v>6.9138849427846615E-3</v>
      </c>
      <c r="M34" s="32">
        <f t="shared" ca="1" si="4"/>
        <v>6.8577285593179882E-4</v>
      </c>
      <c r="N34" s="32">
        <f t="shared" ca="1" si="13"/>
        <v>2.3963570811174395E-6</v>
      </c>
      <c r="O34" s="122">
        <f t="shared" ca="1" si="14"/>
        <v>767322.70829664601</v>
      </c>
      <c r="P34" s="32">
        <f t="shared" ca="1" si="15"/>
        <v>136811143.39033371</v>
      </c>
      <c r="Q34" s="32">
        <f t="shared" ca="1" si="16"/>
        <v>17889122.914864454</v>
      </c>
      <c r="R34" s="16">
        <f t="shared" ca="1" si="5"/>
        <v>1.5480171449688274E-3</v>
      </c>
    </row>
    <row r="35" spans="1:18">
      <c r="A35" s="71">
        <v>18192</v>
      </c>
      <c r="B35" s="71">
        <v>-9.902399979182519E-4</v>
      </c>
      <c r="C35" s="71">
        <v>1</v>
      </c>
      <c r="D35" s="72">
        <f t="shared" si="6"/>
        <v>1.8191999999999999</v>
      </c>
      <c r="E35" s="72">
        <f t="shared" si="6"/>
        <v>-9.902399979182519E-4</v>
      </c>
      <c r="F35" s="32">
        <f t="shared" si="7"/>
        <v>1.8191999999999999</v>
      </c>
      <c r="G35" s="32">
        <f t="shared" si="7"/>
        <v>-9.902399979182519E-4</v>
      </c>
      <c r="H35" s="32">
        <f t="shared" si="8"/>
        <v>3.3094886399999996</v>
      </c>
      <c r="I35" s="32">
        <f t="shared" si="9"/>
        <v>6.0206217338879995</v>
      </c>
      <c r="J35" s="32">
        <f t="shared" si="10"/>
        <v>10.952715058289048</v>
      </c>
      <c r="K35" s="32">
        <f t="shared" si="11"/>
        <v>-1.8014446042128839E-3</v>
      </c>
      <c r="L35" s="32">
        <f t="shared" si="12"/>
        <v>-3.2771880239840781E-3</v>
      </c>
      <c r="M35" s="32">
        <f t="shared" ca="1" si="4"/>
        <v>-2.7247568148269091E-4</v>
      </c>
      <c r="N35" s="32">
        <f t="shared" ca="1" si="13"/>
        <v>5.1518561394820814E-7</v>
      </c>
      <c r="O35" s="122">
        <f t="shared" ca="1" si="14"/>
        <v>405321.7245295748</v>
      </c>
      <c r="P35" s="32">
        <f t="shared" ca="1" si="15"/>
        <v>132551557.12188722</v>
      </c>
      <c r="Q35" s="32">
        <f t="shared" ca="1" si="16"/>
        <v>16928829.222455077</v>
      </c>
      <c r="R35" s="16">
        <f t="shared" ca="1" si="5"/>
        <v>-7.1776431643556099E-4</v>
      </c>
    </row>
    <row r="36" spans="1:18">
      <c r="A36" s="71">
        <v>18206</v>
      </c>
      <c r="B36" s="71">
        <v>3.3981800006586127E-3</v>
      </c>
      <c r="C36" s="71">
        <v>1</v>
      </c>
      <c r="D36" s="72">
        <f t="shared" si="6"/>
        <v>1.8206</v>
      </c>
      <c r="E36" s="72">
        <f t="shared" si="6"/>
        <v>3.3981800006586127E-3</v>
      </c>
      <c r="F36" s="32">
        <f t="shared" si="7"/>
        <v>1.8206</v>
      </c>
      <c r="G36" s="32">
        <f t="shared" si="7"/>
        <v>3.3981800006586127E-3</v>
      </c>
      <c r="H36" s="32">
        <f t="shared" si="8"/>
        <v>3.31458436</v>
      </c>
      <c r="I36" s="32">
        <f t="shared" si="9"/>
        <v>6.0345322858159998</v>
      </c>
      <c r="J36" s="32">
        <f t="shared" si="10"/>
        <v>10.986469479556609</v>
      </c>
      <c r="K36" s="32">
        <f t="shared" si="11"/>
        <v>6.1867265091990701E-3</v>
      </c>
      <c r="L36" s="32">
        <f t="shared" si="12"/>
        <v>1.1263554282647827E-2</v>
      </c>
      <c r="M36" s="32">
        <f t="shared" ca="1" si="4"/>
        <v>-2.957834213005231E-4</v>
      </c>
      <c r="N36" s="32">
        <f t="shared" ca="1" si="13"/>
        <v>1.3645365762772048E-5</v>
      </c>
      <c r="O36" s="122">
        <f t="shared" ca="1" si="14"/>
        <v>398550.62187981443</v>
      </c>
      <c r="P36" s="32">
        <f t="shared" ca="1" si="15"/>
        <v>132433276.00629546</v>
      </c>
      <c r="Q36" s="32">
        <f t="shared" ca="1" si="16"/>
        <v>16904372.9639755</v>
      </c>
      <c r="R36" s="16">
        <f t="shared" ca="1" si="5"/>
        <v>3.6939634219591358E-3</v>
      </c>
    </row>
    <row r="37" spans="1:18">
      <c r="A37" s="71">
        <v>18216</v>
      </c>
      <c r="B37" s="71">
        <v>-7.1815199989941902E-3</v>
      </c>
      <c r="C37" s="71">
        <v>0.4</v>
      </c>
      <c r="D37" s="72">
        <f t="shared" si="6"/>
        <v>1.8216000000000001</v>
      </c>
      <c r="E37" s="72">
        <f t="shared" si="6"/>
        <v>-7.1815199989941902E-3</v>
      </c>
      <c r="F37" s="32">
        <f t="shared" si="7"/>
        <v>0.72864000000000007</v>
      </c>
      <c r="G37" s="32">
        <f t="shared" si="7"/>
        <v>-2.8726079995976764E-3</v>
      </c>
      <c r="H37" s="32">
        <f t="shared" si="8"/>
        <v>1.3272906240000002</v>
      </c>
      <c r="I37" s="32">
        <f t="shared" si="9"/>
        <v>2.4177926006784003</v>
      </c>
      <c r="J37" s="32">
        <f t="shared" si="10"/>
        <v>4.4042510013957745</v>
      </c>
      <c r="K37" s="32">
        <f t="shared" si="11"/>
        <v>-5.2327427320671277E-3</v>
      </c>
      <c r="L37" s="32">
        <f t="shared" si="12"/>
        <v>-9.5319641607334808E-3</v>
      </c>
      <c r="M37" s="32">
        <f t="shared" ca="1" si="4"/>
        <v>-3.1245729128957789E-4</v>
      </c>
      <c r="N37" s="32">
        <f t="shared" ca="1" si="13"/>
        <v>1.887360899295129E-5</v>
      </c>
      <c r="O37" s="122">
        <f t="shared" ca="1" si="14"/>
        <v>63001.268713907528</v>
      </c>
      <c r="P37" s="32">
        <f t="shared" ca="1" si="15"/>
        <v>21175724.133678485</v>
      </c>
      <c r="Q37" s="32">
        <f t="shared" ca="1" si="16"/>
        <v>2701895.9905659845</v>
      </c>
      <c r="R37" s="16">
        <f t="shared" ca="1" si="5"/>
        <v>-6.8690627077046124E-3</v>
      </c>
    </row>
    <row r="38" spans="1:18">
      <c r="A38" s="71">
        <v>18220</v>
      </c>
      <c r="B38" s="71">
        <v>8.7865999958012253E-3</v>
      </c>
      <c r="C38" s="71">
        <v>1</v>
      </c>
      <c r="D38" s="72">
        <f t="shared" si="6"/>
        <v>1.8220000000000001</v>
      </c>
      <c r="E38" s="72">
        <f t="shared" si="6"/>
        <v>8.7865999958012253E-3</v>
      </c>
      <c r="F38" s="32">
        <f t="shared" si="7"/>
        <v>1.8220000000000001</v>
      </c>
      <c r="G38" s="32">
        <f t="shared" si="7"/>
        <v>8.7865999958012253E-3</v>
      </c>
      <c r="H38" s="32">
        <f t="shared" si="8"/>
        <v>3.3196840000000001</v>
      </c>
      <c r="I38" s="32">
        <f t="shared" si="9"/>
        <v>6.0484642480000002</v>
      </c>
      <c r="J38" s="32">
        <f t="shared" si="10"/>
        <v>11.020301859856001</v>
      </c>
      <c r="K38" s="32">
        <f t="shared" si="11"/>
        <v>1.6009185192349833E-2</v>
      </c>
      <c r="L38" s="32">
        <f t="shared" si="12"/>
        <v>2.9168735420461396E-2</v>
      </c>
      <c r="M38" s="32">
        <f t="shared" ca="1" si="4"/>
        <v>-3.1913278564634634E-4</v>
      </c>
      <c r="N38" s="32">
        <f t="shared" ca="1" si="13"/>
        <v>8.2914369487128935E-5</v>
      </c>
      <c r="O38" s="122">
        <f t="shared" ca="1" si="14"/>
        <v>391851.0394502561</v>
      </c>
      <c r="P38" s="32">
        <f t="shared" ca="1" si="15"/>
        <v>132314156.02762219</v>
      </c>
      <c r="Q38" s="32">
        <f t="shared" ca="1" si="16"/>
        <v>16879828.091630906</v>
      </c>
      <c r="R38" s="16">
        <f t="shared" ca="1" si="5"/>
        <v>9.1057327814475716E-3</v>
      </c>
    </row>
    <row r="39" spans="1:18">
      <c r="A39" s="71">
        <v>18262</v>
      </c>
      <c r="B39" s="71">
        <v>-1.0481400022399612E-3</v>
      </c>
      <c r="C39" s="71">
        <v>1</v>
      </c>
      <c r="D39" s="72">
        <f t="shared" si="6"/>
        <v>1.8262</v>
      </c>
      <c r="E39" s="72">
        <f t="shared" si="6"/>
        <v>-1.0481400022399612E-3</v>
      </c>
      <c r="F39" s="32">
        <f t="shared" si="7"/>
        <v>1.8262</v>
      </c>
      <c r="G39" s="32">
        <f t="shared" si="7"/>
        <v>-1.0481400022399612E-3</v>
      </c>
      <c r="H39" s="32">
        <f t="shared" si="8"/>
        <v>3.3350064400000003</v>
      </c>
      <c r="I39" s="32">
        <f t="shared" si="9"/>
        <v>6.0903887607280005</v>
      </c>
      <c r="J39" s="32">
        <f t="shared" si="10"/>
        <v>11.122267954841474</v>
      </c>
      <c r="K39" s="32">
        <f t="shared" si="11"/>
        <v>-1.9141132720906172E-3</v>
      </c>
      <c r="L39" s="32">
        <f t="shared" si="12"/>
        <v>-3.4955536574918854E-3</v>
      </c>
      <c r="M39" s="32">
        <f t="shared" ca="1" si="4"/>
        <v>-3.8943062585172772E-4</v>
      </c>
      <c r="N39" s="32">
        <f t="shared" ca="1" si="13"/>
        <v>4.3389804254177543E-7</v>
      </c>
      <c r="O39" s="122">
        <f t="shared" ca="1" si="14"/>
        <v>372177.71827526286</v>
      </c>
      <c r="P39" s="32">
        <f t="shared" ca="1" si="15"/>
        <v>131951774.99662635</v>
      </c>
      <c r="Q39" s="32">
        <f t="shared" ca="1" si="16"/>
        <v>16805664.11396132</v>
      </c>
      <c r="R39" s="16">
        <f t="shared" ca="1" si="5"/>
        <v>-6.5870937638823346E-4</v>
      </c>
    </row>
    <row r="40" spans="1:18">
      <c r="A40" s="71">
        <v>18283.5</v>
      </c>
      <c r="B40" s="71">
        <v>-7.7471000258810818E-4</v>
      </c>
      <c r="C40" s="71">
        <v>0.1</v>
      </c>
      <c r="D40" s="72">
        <f t="shared" si="6"/>
        <v>1.8283499999999999</v>
      </c>
      <c r="E40" s="72">
        <f t="shared" si="6"/>
        <v>-7.7471000258810818E-4</v>
      </c>
      <c r="F40" s="32">
        <f t="shared" si="7"/>
        <v>0.182835</v>
      </c>
      <c r="G40" s="32">
        <f t="shared" si="7"/>
        <v>-7.7471000258810826E-5</v>
      </c>
      <c r="H40" s="32">
        <f t="shared" si="8"/>
        <v>0.33428637224999996</v>
      </c>
      <c r="I40" s="32">
        <f t="shared" si="9"/>
        <v>0.61119248870328735</v>
      </c>
      <c r="J40" s="32">
        <f t="shared" si="10"/>
        <v>1.1174737867206554</v>
      </c>
      <c r="K40" s="32">
        <f t="shared" si="11"/>
        <v>-1.4164410332319677E-4</v>
      </c>
      <c r="L40" s="32">
        <f t="shared" si="12"/>
        <v>-2.5897499631096681E-4</v>
      </c>
      <c r="M40" s="32">
        <f t="shared" ca="1" si="4"/>
        <v>-4.2556139410355326E-4</v>
      </c>
      <c r="N40" s="32">
        <f t="shared" ca="1" si="13"/>
        <v>1.2190475080670102E-8</v>
      </c>
      <c r="O40" s="122">
        <f t="shared" ca="1" si="14"/>
        <v>3623.5142947406594</v>
      </c>
      <c r="P40" s="32">
        <f t="shared" ca="1" si="15"/>
        <v>1317633.6371938274</v>
      </c>
      <c r="Q40" s="32">
        <f t="shared" ca="1" si="16"/>
        <v>167673.93449283004</v>
      </c>
      <c r="R40" s="16">
        <f t="shared" ca="1" si="5"/>
        <v>-3.4914860848455492E-4</v>
      </c>
    </row>
    <row r="41" spans="1:18">
      <c r="A41" s="71">
        <v>19055</v>
      </c>
      <c r="B41" s="71">
        <v>3.8165000296430662E-4</v>
      </c>
      <c r="C41" s="71">
        <v>0.4</v>
      </c>
      <c r="D41" s="72">
        <f t="shared" si="6"/>
        <v>1.9055</v>
      </c>
      <c r="E41" s="72">
        <f t="shared" si="6"/>
        <v>3.8165000296430662E-4</v>
      </c>
      <c r="F41" s="32">
        <f t="shared" si="7"/>
        <v>0.76219999999999999</v>
      </c>
      <c r="G41" s="32">
        <f t="shared" si="7"/>
        <v>1.5266000118572265E-4</v>
      </c>
      <c r="H41" s="32">
        <f t="shared" si="8"/>
        <v>1.4523721000000001</v>
      </c>
      <c r="I41" s="32">
        <f t="shared" si="9"/>
        <v>2.7674950365500002</v>
      </c>
      <c r="J41" s="32">
        <f t="shared" si="10"/>
        <v>5.2734617921460254</v>
      </c>
      <c r="K41" s="32">
        <f t="shared" si="11"/>
        <v>2.9089363225939449E-4</v>
      </c>
      <c r="L41" s="32">
        <f t="shared" si="12"/>
        <v>5.5429781627027623E-4</v>
      </c>
      <c r="M41" s="32">
        <f t="shared" ca="1" si="4"/>
        <v>-1.787031741420822E-3</v>
      </c>
      <c r="N41" s="32">
        <f t="shared" ca="1" si="13"/>
        <v>1.8812722033717299E-6</v>
      </c>
      <c r="O41" s="122">
        <f t="shared" ca="1" si="14"/>
        <v>17328.23805349441</v>
      </c>
      <c r="P41" s="32">
        <f t="shared" ca="1" si="15"/>
        <v>19798735.54906749</v>
      </c>
      <c r="Q41" s="32">
        <f t="shared" ca="1" si="16"/>
        <v>2442368.9972050088</v>
      </c>
      <c r="R41" s="16">
        <f t="shared" ca="1" si="5"/>
        <v>2.1686817443851286E-3</v>
      </c>
    </row>
    <row r="42" spans="1:18">
      <c r="A42" s="71">
        <v>20176.5</v>
      </c>
      <c r="B42" s="71">
        <v>-5.322155004250817E-3</v>
      </c>
      <c r="C42" s="71">
        <v>0.1</v>
      </c>
      <c r="D42" s="72">
        <f t="shared" si="6"/>
        <v>2.0176500000000002</v>
      </c>
      <c r="E42" s="72">
        <f t="shared" si="6"/>
        <v>-5.322155004250817E-3</v>
      </c>
      <c r="F42" s="32">
        <f t="shared" si="7"/>
        <v>0.20176500000000003</v>
      </c>
      <c r="G42" s="32">
        <f t="shared" si="7"/>
        <v>-5.3221550042508174E-4</v>
      </c>
      <c r="H42" s="32">
        <f t="shared" si="8"/>
        <v>0.40709115225000009</v>
      </c>
      <c r="I42" s="32">
        <f t="shared" si="9"/>
        <v>0.82136746333721278</v>
      </c>
      <c r="J42" s="32">
        <f t="shared" si="10"/>
        <v>1.6572320624023276</v>
      </c>
      <c r="K42" s="32">
        <f t="shared" si="11"/>
        <v>-1.0738246044326662E-3</v>
      </c>
      <c r="L42" s="32">
        <f t="shared" si="12"/>
        <v>-2.1666022131335691E-3</v>
      </c>
      <c r="M42" s="32">
        <f t="shared" ca="1" si="4"/>
        <v>-3.9915797834332994E-3</v>
      </c>
      <c r="N42" s="32">
        <f t="shared" ca="1" si="13"/>
        <v>1.7704304182535856E-7</v>
      </c>
      <c r="O42" s="122">
        <f t="shared" ca="1" si="14"/>
        <v>0.23987938234266681</v>
      </c>
      <c r="P42" s="32">
        <f t="shared" ca="1" si="15"/>
        <v>1081217.1222451851</v>
      </c>
      <c r="Q42" s="32">
        <f t="shared" ca="1" si="16"/>
        <v>127020.52141446075</v>
      </c>
      <c r="R42" s="16">
        <f t="shared" ca="1" si="5"/>
        <v>-1.3305752208175176E-3</v>
      </c>
    </row>
    <row r="43" spans="1:18">
      <c r="A43" s="71">
        <v>20226</v>
      </c>
      <c r="B43" s="71">
        <v>-9.7012199985329062E-3</v>
      </c>
      <c r="C43" s="71">
        <v>0.4</v>
      </c>
      <c r="D43" s="72">
        <f t="shared" si="6"/>
        <v>2.0226000000000002</v>
      </c>
      <c r="E43" s="72">
        <f t="shared" si="6"/>
        <v>-9.7012199985329062E-3</v>
      </c>
      <c r="F43" s="32">
        <f t="shared" si="7"/>
        <v>0.80904000000000009</v>
      </c>
      <c r="G43" s="32">
        <f t="shared" si="7"/>
        <v>-3.8804879994131626E-3</v>
      </c>
      <c r="H43" s="32">
        <f t="shared" si="8"/>
        <v>1.6363643040000004</v>
      </c>
      <c r="I43" s="32">
        <f t="shared" si="9"/>
        <v>3.309710441270401</v>
      </c>
      <c r="J43" s="32">
        <f t="shared" si="10"/>
        <v>6.6942203385135137</v>
      </c>
      <c r="K43" s="32">
        <f t="shared" si="11"/>
        <v>-7.848675027613064E-3</v>
      </c>
      <c r="L43" s="32">
        <f t="shared" si="12"/>
        <v>-1.5874730110850183E-2</v>
      </c>
      <c r="M43" s="32">
        <f t="shared" ca="1" si="4"/>
        <v>-4.0950375788227772E-3</v>
      </c>
      <c r="N43" s="32">
        <f t="shared" ca="1" si="13"/>
        <v>1.2571712529226768E-5</v>
      </c>
      <c r="O43" s="122">
        <f t="shared" ca="1" si="14"/>
        <v>51.427620083764744</v>
      </c>
      <c r="P43" s="32">
        <f t="shared" ca="1" si="15"/>
        <v>17174041.547490932</v>
      </c>
      <c r="Q43" s="32">
        <f t="shared" ca="1" si="16"/>
        <v>2012926.2702090177</v>
      </c>
      <c r="R43" s="16">
        <f t="shared" ca="1" si="5"/>
        <v>-5.606182419710129E-3</v>
      </c>
    </row>
    <row r="44" spans="1:18">
      <c r="A44" s="71">
        <v>21455</v>
      </c>
      <c r="B44" s="71">
        <v>-7.7463499983423389E-3</v>
      </c>
      <c r="C44" s="71">
        <v>0.4</v>
      </c>
      <c r="D44" s="72">
        <f t="shared" si="6"/>
        <v>2.1455000000000002</v>
      </c>
      <c r="E44" s="72">
        <f t="shared" si="6"/>
        <v>-7.7463499983423389E-3</v>
      </c>
      <c r="F44" s="32">
        <f t="shared" si="7"/>
        <v>0.85820000000000007</v>
      </c>
      <c r="G44" s="32">
        <f t="shared" si="7"/>
        <v>-3.0985399993369357E-3</v>
      </c>
      <c r="H44" s="32">
        <f t="shared" si="8"/>
        <v>1.8412681000000004</v>
      </c>
      <c r="I44" s="32">
        <f t="shared" si="9"/>
        <v>3.9504407085500013</v>
      </c>
      <c r="J44" s="32">
        <f t="shared" si="10"/>
        <v>8.4756705401940291</v>
      </c>
      <c r="K44" s="32">
        <f t="shared" si="11"/>
        <v>-6.6479175685773958E-3</v>
      </c>
      <c r="L44" s="32">
        <f t="shared" si="12"/>
        <v>-1.4263107143382804E-2</v>
      </c>
      <c r="M44" s="32">
        <f t="shared" ca="1" si="4"/>
        <v>-6.8305630107128729E-3</v>
      </c>
      <c r="N44" s="32">
        <f t="shared" ca="1" si="13"/>
        <v>3.3546632268458073E-7</v>
      </c>
      <c r="O44" s="122">
        <f t="shared" ca="1" si="14"/>
        <v>13931.123520318721</v>
      </c>
      <c r="P44" s="32">
        <f t="shared" ca="1" si="15"/>
        <v>13741520.79464525</v>
      </c>
      <c r="Q44" s="32">
        <f t="shared" ca="1" si="16"/>
        <v>1509647.6842116967</v>
      </c>
      <c r="R44" s="16">
        <f t="shared" ca="1" si="5"/>
        <v>-9.1578698762946609E-4</v>
      </c>
    </row>
    <row r="45" spans="1:18">
      <c r="A45" s="71">
        <v>22154</v>
      </c>
      <c r="B45" s="71">
        <v>-7.5673799947253428E-3</v>
      </c>
      <c r="C45" s="71">
        <v>1</v>
      </c>
      <c r="D45" s="72">
        <f t="shared" si="6"/>
        <v>2.2153999999999998</v>
      </c>
      <c r="E45" s="72">
        <f t="shared" si="6"/>
        <v>-7.5673799947253428E-3</v>
      </c>
      <c r="F45" s="32">
        <f t="shared" si="7"/>
        <v>2.2153999999999998</v>
      </c>
      <c r="G45" s="32">
        <f t="shared" si="7"/>
        <v>-7.5673799947253428E-3</v>
      </c>
      <c r="H45" s="32">
        <f t="shared" si="8"/>
        <v>4.907997159999999</v>
      </c>
      <c r="I45" s="32">
        <f t="shared" si="9"/>
        <v>10.873176908263996</v>
      </c>
      <c r="J45" s="32">
        <f t="shared" si="10"/>
        <v>24.088436122568055</v>
      </c>
      <c r="K45" s="32">
        <f t="shared" si="11"/>
        <v>-1.6764773640314524E-2</v>
      </c>
      <c r="L45" s="32">
        <f t="shared" si="12"/>
        <v>-3.7140679522752795E-2</v>
      </c>
      <c r="M45" s="32">
        <f t="shared" ca="1" si="4"/>
        <v>-8.5295095902189338E-3</v>
      </c>
      <c r="N45" s="32">
        <f t="shared" ca="1" si="13"/>
        <v>9.2569335852466103E-7</v>
      </c>
      <c r="O45" s="122">
        <f t="shared" ca="1" si="14"/>
        <v>170508.01064481508</v>
      </c>
      <c r="P45" s="32">
        <f t="shared" ca="1" si="15"/>
        <v>72462461.877615437</v>
      </c>
      <c r="Q45" s="32">
        <f t="shared" ca="1" si="16"/>
        <v>7600617.155584285</v>
      </c>
      <c r="R45" s="16">
        <f t="shared" ca="1" si="5"/>
        <v>9.6212959549359101E-4</v>
      </c>
    </row>
    <row r="46" spans="1:18">
      <c r="A46" s="71">
        <v>22154.5</v>
      </c>
      <c r="B46" s="71">
        <v>-7.6963649989920668E-3</v>
      </c>
      <c r="C46" s="71">
        <v>1</v>
      </c>
      <c r="D46" s="72">
        <f t="shared" si="6"/>
        <v>2.2154500000000001</v>
      </c>
      <c r="E46" s="72">
        <f t="shared" si="6"/>
        <v>-7.6963649989920668E-3</v>
      </c>
      <c r="F46" s="32">
        <f t="shared" si="7"/>
        <v>2.2154500000000001</v>
      </c>
      <c r="G46" s="32">
        <f t="shared" si="7"/>
        <v>-7.6963649989920668E-3</v>
      </c>
      <c r="H46" s="32">
        <f t="shared" si="8"/>
        <v>4.908218702500001</v>
      </c>
      <c r="I46" s="32">
        <f t="shared" si="9"/>
        <v>10.873913124453628</v>
      </c>
      <c r="J46" s="32">
        <f t="shared" si="10"/>
        <v>24.090610831570793</v>
      </c>
      <c r="K46" s="32">
        <f t="shared" si="11"/>
        <v>-1.7050911837016975E-2</v>
      </c>
      <c r="L46" s="32">
        <f t="shared" si="12"/>
        <v>-3.7775442629319263E-2</v>
      </c>
      <c r="M46" s="32">
        <f t="shared" ca="1" si="4"/>
        <v>-8.5307619978000071E-3</v>
      </c>
      <c r="N46" s="32">
        <f t="shared" ca="1" si="13"/>
        <v>6.9621835161969785E-7</v>
      </c>
      <c r="O46" s="122">
        <f t="shared" ca="1" si="14"/>
        <v>170569.10954059166</v>
      </c>
      <c r="P46" s="32">
        <f t="shared" ca="1" si="15"/>
        <v>72452680.214385182</v>
      </c>
      <c r="Q46" s="32">
        <f t="shared" ca="1" si="16"/>
        <v>7599312.0865158271</v>
      </c>
      <c r="R46" s="16">
        <f t="shared" ca="1" si="5"/>
        <v>8.3439699880794027E-4</v>
      </c>
    </row>
    <row r="47" spans="1:18">
      <c r="A47" s="71">
        <v>22157</v>
      </c>
      <c r="B47" s="71">
        <v>-7.1412899997085333E-3</v>
      </c>
      <c r="C47" s="71">
        <v>1</v>
      </c>
      <c r="D47" s="72">
        <f t="shared" si="6"/>
        <v>2.2157</v>
      </c>
      <c r="E47" s="72">
        <f t="shared" si="6"/>
        <v>-7.1412899997085333E-3</v>
      </c>
      <c r="F47" s="32">
        <f t="shared" si="7"/>
        <v>2.2157</v>
      </c>
      <c r="G47" s="32">
        <f t="shared" si="7"/>
        <v>-7.1412899997085333E-3</v>
      </c>
      <c r="H47" s="32">
        <f t="shared" si="8"/>
        <v>4.9093264899999998</v>
      </c>
      <c r="I47" s="32">
        <f t="shared" si="9"/>
        <v>10.877594703892999</v>
      </c>
      <c r="J47" s="32">
        <f t="shared" si="10"/>
        <v>24.101486585415717</v>
      </c>
      <c r="K47" s="32">
        <f t="shared" si="11"/>
        <v>-1.5822956252354196E-2</v>
      </c>
      <c r="L47" s="32">
        <f t="shared" si="12"/>
        <v>-3.5058924168341193E-2</v>
      </c>
      <c r="M47" s="32">
        <f t="shared" ca="1" si="4"/>
        <v>-8.5370248320929057E-3</v>
      </c>
      <c r="N47" s="32">
        <f t="shared" ca="1" si="13"/>
        <v>1.9480757223310322E-6</v>
      </c>
      <c r="O47" s="122">
        <f t="shared" ca="1" si="14"/>
        <v>170874.58517718982</v>
      </c>
      <c r="P47" s="32">
        <f t="shared" ca="1" si="15"/>
        <v>72403769.182294637</v>
      </c>
      <c r="Q47" s="32">
        <f t="shared" ca="1" si="16"/>
        <v>7592787.0580470162</v>
      </c>
      <c r="R47" s="16">
        <f t="shared" ca="1" si="5"/>
        <v>1.3957348323843724E-3</v>
      </c>
    </row>
    <row r="48" spans="1:18">
      <c r="A48" s="71">
        <v>22159.5</v>
      </c>
      <c r="B48" s="71">
        <v>-7.7862149992142804E-3</v>
      </c>
      <c r="C48" s="71">
        <v>1</v>
      </c>
      <c r="D48" s="72">
        <f t="shared" si="6"/>
        <v>2.2159499999999999</v>
      </c>
      <c r="E48" s="72">
        <f t="shared" si="6"/>
        <v>-7.7862149992142804E-3</v>
      </c>
      <c r="F48" s="32">
        <f t="shared" si="7"/>
        <v>2.2159499999999999</v>
      </c>
      <c r="G48" s="32">
        <f t="shared" si="7"/>
        <v>-7.7862149992142804E-3</v>
      </c>
      <c r="H48" s="32">
        <f t="shared" si="8"/>
        <v>4.9104344024999991</v>
      </c>
      <c r="I48" s="32">
        <f t="shared" si="9"/>
        <v>10.881277114219872</v>
      </c>
      <c r="J48" s="32">
        <f t="shared" si="10"/>
        <v>24.112366021255522</v>
      </c>
      <c r="K48" s="32">
        <f t="shared" si="11"/>
        <v>-1.7253863127508883E-2</v>
      </c>
      <c r="L48" s="32">
        <f t="shared" si="12"/>
        <v>-3.823369799740331E-2</v>
      </c>
      <c r="M48" s="32">
        <f t="shared" ca="1" si="4"/>
        <v>-8.5432889936985779E-3</v>
      </c>
      <c r="N48" s="32">
        <f t="shared" ca="1" si="13"/>
        <v>5.7316103312441005E-7</v>
      </c>
      <c r="O48" s="122">
        <f t="shared" ca="1" si="14"/>
        <v>171180.0288099717</v>
      </c>
      <c r="P48" s="32">
        <f t="shared" ca="1" si="15"/>
        <v>72354853.639263004</v>
      </c>
      <c r="Q48" s="32">
        <f t="shared" ca="1" si="16"/>
        <v>7586262.5598490946</v>
      </c>
      <c r="R48" s="16">
        <f t="shared" ca="1" si="5"/>
        <v>7.5707399448429746E-4</v>
      </c>
    </row>
    <row r="49" spans="1:18">
      <c r="A49" s="71">
        <v>22159.5</v>
      </c>
      <c r="B49" s="71">
        <v>-7.4862149995169602E-3</v>
      </c>
      <c r="C49" s="71">
        <v>1</v>
      </c>
      <c r="D49" s="72">
        <f t="shared" si="6"/>
        <v>2.2159499999999999</v>
      </c>
      <c r="E49" s="72">
        <f t="shared" si="6"/>
        <v>-7.4862149995169602E-3</v>
      </c>
      <c r="F49" s="32">
        <f t="shared" si="7"/>
        <v>2.2159499999999999</v>
      </c>
      <c r="G49" s="32">
        <f t="shared" si="7"/>
        <v>-7.4862149995169602E-3</v>
      </c>
      <c r="H49" s="32">
        <f t="shared" si="8"/>
        <v>4.9104344024999991</v>
      </c>
      <c r="I49" s="32">
        <f t="shared" si="9"/>
        <v>10.881277114219872</v>
      </c>
      <c r="J49" s="32">
        <f t="shared" si="10"/>
        <v>24.112366021255522</v>
      </c>
      <c r="K49" s="32">
        <f t="shared" si="11"/>
        <v>-1.6589078128179606E-2</v>
      </c>
      <c r="L49" s="32">
        <f t="shared" si="12"/>
        <v>-3.6760567678139594E-2</v>
      </c>
      <c r="M49" s="32">
        <f t="shared" ca="1" si="4"/>
        <v>-8.5432889936985779E-3</v>
      </c>
      <c r="N49" s="32">
        <f t="shared" ca="1" si="13"/>
        <v>1.1174054291750785E-6</v>
      </c>
      <c r="O49" s="122">
        <f t="shared" ca="1" si="14"/>
        <v>171180.0288099717</v>
      </c>
      <c r="P49" s="32">
        <f t="shared" ca="1" si="15"/>
        <v>72354853.639263004</v>
      </c>
      <c r="Q49" s="32">
        <f t="shared" ca="1" si="16"/>
        <v>7586262.5598490946</v>
      </c>
      <c r="R49" s="16">
        <f t="shared" ca="1" si="5"/>
        <v>1.0570739941816176E-3</v>
      </c>
    </row>
    <row r="50" spans="1:18">
      <c r="A50" s="71">
        <v>22160</v>
      </c>
      <c r="B50" s="71">
        <v>-6.9151999996392988E-3</v>
      </c>
      <c r="C50" s="71">
        <v>1</v>
      </c>
      <c r="D50" s="72">
        <f t="shared" si="6"/>
        <v>2.2160000000000002</v>
      </c>
      <c r="E50" s="72">
        <f t="shared" si="6"/>
        <v>-6.9151999996392988E-3</v>
      </c>
      <c r="F50" s="32">
        <f t="shared" si="7"/>
        <v>2.2160000000000002</v>
      </c>
      <c r="G50" s="32">
        <f t="shared" si="7"/>
        <v>-6.9151999996392988E-3</v>
      </c>
      <c r="H50" s="32">
        <f t="shared" si="8"/>
        <v>4.9106560000000012</v>
      </c>
      <c r="I50" s="32">
        <f t="shared" si="9"/>
        <v>10.882013696000003</v>
      </c>
      <c r="J50" s="32">
        <f t="shared" si="10"/>
        <v>24.114542350336009</v>
      </c>
      <c r="K50" s="32">
        <f t="shared" si="11"/>
        <v>-1.5324083199200688E-2</v>
      </c>
      <c r="L50" s="32">
        <f t="shared" si="12"/>
        <v>-3.3958168369428728E-2</v>
      </c>
      <c r="M50" s="32">
        <f t="shared" ca="1" si="4"/>
        <v>-8.5445419852972562E-3</v>
      </c>
      <c r="N50" s="32">
        <f t="shared" ca="1" si="13"/>
        <v>2.6547553062278157E-6</v>
      </c>
      <c r="O50" s="122">
        <f t="shared" ca="1" si="14"/>
        <v>171241.11362411754</v>
      </c>
      <c r="P50" s="32">
        <f t="shared" ca="1" si="15"/>
        <v>72345069.991219193</v>
      </c>
      <c r="Q50" s="32">
        <f t="shared" ca="1" si="16"/>
        <v>7584957.7240998764</v>
      </c>
      <c r="R50" s="16">
        <f t="shared" ca="1" si="5"/>
        <v>1.6293419856579575E-3</v>
      </c>
    </row>
    <row r="51" spans="1:18">
      <c r="A51" s="71">
        <v>22168.5</v>
      </c>
      <c r="B51" s="71">
        <v>-6.407945002138149E-3</v>
      </c>
      <c r="C51" s="71">
        <v>1</v>
      </c>
      <c r="D51" s="72">
        <f t="shared" si="6"/>
        <v>2.21685</v>
      </c>
      <c r="E51" s="72">
        <f t="shared" si="6"/>
        <v>-6.407945002138149E-3</v>
      </c>
      <c r="F51" s="32">
        <f t="shared" si="7"/>
        <v>2.21685</v>
      </c>
      <c r="G51" s="32">
        <f t="shared" si="7"/>
        <v>-6.407945002138149E-3</v>
      </c>
      <c r="H51" s="32">
        <f t="shared" si="8"/>
        <v>4.9144239225000002</v>
      </c>
      <c r="I51" s="32">
        <f t="shared" si="9"/>
        <v>10.894540672594125</v>
      </c>
      <c r="J51" s="32">
        <f t="shared" si="10"/>
        <v>24.151562490040288</v>
      </c>
      <c r="K51" s="32">
        <f t="shared" si="11"/>
        <v>-1.4205452877989955E-2</v>
      </c>
      <c r="L51" s="32">
        <f t="shared" si="12"/>
        <v>-3.1491358212572033E-2</v>
      </c>
      <c r="M51" s="32">
        <f t="shared" ca="1" si="4"/>
        <v>-8.5658509656286116E-3</v>
      </c>
      <c r="N51" s="32">
        <f t="shared" ca="1" si="13"/>
        <v>4.6565581472677017E-6</v>
      </c>
      <c r="O51" s="122">
        <f t="shared" ca="1" si="14"/>
        <v>172279.34826927944</v>
      </c>
      <c r="P51" s="32">
        <f t="shared" ca="1" si="15"/>
        <v>72178720.663342655</v>
      </c>
      <c r="Q51" s="32">
        <f t="shared" ca="1" si="16"/>
        <v>7562778.8022866379</v>
      </c>
      <c r="R51" s="16">
        <f t="shared" ca="1" si="5"/>
        <v>2.1579059634904627E-3</v>
      </c>
    </row>
    <row r="52" spans="1:18">
      <c r="A52" s="71">
        <v>22253.5</v>
      </c>
      <c r="B52" s="71">
        <v>-8.1353950008633547E-3</v>
      </c>
      <c r="C52" s="71">
        <v>1</v>
      </c>
      <c r="D52" s="72">
        <f t="shared" si="6"/>
        <v>2.2253500000000002</v>
      </c>
      <c r="E52" s="72">
        <f t="shared" si="6"/>
        <v>-8.1353950008633547E-3</v>
      </c>
      <c r="F52" s="32">
        <f t="shared" si="7"/>
        <v>2.2253500000000002</v>
      </c>
      <c r="G52" s="32">
        <f t="shared" si="7"/>
        <v>-8.1353950008633547E-3</v>
      </c>
      <c r="H52" s="32">
        <f t="shared" si="8"/>
        <v>4.9521826225000005</v>
      </c>
      <c r="I52" s="32">
        <f t="shared" si="9"/>
        <v>11.020339598980376</v>
      </c>
      <c r="J52" s="32">
        <f t="shared" si="10"/>
        <v>24.524112726590982</v>
      </c>
      <c r="K52" s="32">
        <f t="shared" si="11"/>
        <v>-1.8104101265171268E-2</v>
      </c>
      <c r="L52" s="32">
        <f t="shared" si="12"/>
        <v>-4.0287961750448881E-2</v>
      </c>
      <c r="M52" s="32">
        <f t="shared" ca="1" si="4"/>
        <v>-8.7797846743916594E-3</v>
      </c>
      <c r="N52" s="32">
        <f t="shared" ca="1" si="13"/>
        <v>4.1523805134991516E-7</v>
      </c>
      <c r="O52" s="122">
        <f t="shared" ca="1" si="14"/>
        <v>182633.72560536969</v>
      </c>
      <c r="P52" s="32">
        <f t="shared" ca="1" si="15"/>
        <v>70512560.731312647</v>
      </c>
      <c r="Q52" s="32">
        <f t="shared" ca="1" si="16"/>
        <v>7341354.397146658</v>
      </c>
      <c r="R52" s="16">
        <f t="shared" ca="1" si="5"/>
        <v>6.4438967352830473E-4</v>
      </c>
    </row>
    <row r="53" spans="1:18">
      <c r="A53" s="71">
        <v>22259</v>
      </c>
      <c r="B53" s="71">
        <v>-9.1542299996945076E-3</v>
      </c>
      <c r="C53" s="71">
        <v>1</v>
      </c>
      <c r="D53" s="72">
        <f t="shared" si="6"/>
        <v>2.2259000000000002</v>
      </c>
      <c r="E53" s="72">
        <f t="shared" si="6"/>
        <v>-9.1542299996945076E-3</v>
      </c>
      <c r="F53" s="32">
        <f t="shared" si="7"/>
        <v>2.2259000000000002</v>
      </c>
      <c r="G53" s="32">
        <f t="shared" si="7"/>
        <v>-9.1542299996945076E-3</v>
      </c>
      <c r="H53" s="32">
        <f t="shared" si="8"/>
        <v>4.9546308100000012</v>
      </c>
      <c r="I53" s="32">
        <f t="shared" si="9"/>
        <v>11.028512719979004</v>
      </c>
      <c r="J53" s="32">
        <f t="shared" si="10"/>
        <v>24.548366463401265</v>
      </c>
      <c r="K53" s="32">
        <f t="shared" si="11"/>
        <v>-2.0376400556320007E-2</v>
      </c>
      <c r="L53" s="32">
        <f t="shared" si="12"/>
        <v>-4.5355829998312711E-2</v>
      </c>
      <c r="M53" s="32">
        <f t="shared" ca="1" si="4"/>
        <v>-8.7936802973761011E-3</v>
      </c>
      <c r="N53" s="32">
        <f t="shared" ca="1" si="13"/>
        <v>1.2999608784189153E-7</v>
      </c>
      <c r="O53" s="122">
        <f t="shared" ca="1" si="14"/>
        <v>183301.54225770364</v>
      </c>
      <c r="P53" s="32">
        <f t="shared" ca="1" si="15"/>
        <v>70404594.676474079</v>
      </c>
      <c r="Q53" s="32">
        <f t="shared" ca="1" si="16"/>
        <v>7327051.3353931131</v>
      </c>
      <c r="R53" s="16">
        <f t="shared" ca="1" si="5"/>
        <v>-3.605497023184065E-4</v>
      </c>
    </row>
    <row r="54" spans="1:18">
      <c r="A54" s="71">
        <v>22289</v>
      </c>
      <c r="B54" s="71">
        <v>-7.893330002843868E-3</v>
      </c>
      <c r="C54" s="71">
        <v>0.4</v>
      </c>
      <c r="D54" s="72">
        <f t="shared" si="6"/>
        <v>2.2288999999999999</v>
      </c>
      <c r="E54" s="72">
        <f t="shared" si="6"/>
        <v>-7.893330002843868E-3</v>
      </c>
      <c r="F54" s="32">
        <f t="shared" si="7"/>
        <v>0.89156000000000002</v>
      </c>
      <c r="G54" s="32">
        <f t="shared" si="7"/>
        <v>-3.1573320011375472E-3</v>
      </c>
      <c r="H54" s="32">
        <f t="shared" si="8"/>
        <v>1.9871980839999999</v>
      </c>
      <c r="I54" s="32">
        <f t="shared" si="9"/>
        <v>4.4292658094275996</v>
      </c>
      <c r="J54" s="32">
        <f t="shared" si="10"/>
        <v>9.8723905626331767</v>
      </c>
      <c r="K54" s="32">
        <f t="shared" si="11"/>
        <v>-7.0373772973354783E-3</v>
      </c>
      <c r="L54" s="32">
        <f t="shared" si="12"/>
        <v>-1.5685610258031047E-2</v>
      </c>
      <c r="M54" s="32">
        <f t="shared" ca="1" si="4"/>
        <v>-8.8695876916106697E-3</v>
      </c>
      <c r="N54" s="32">
        <f t="shared" ca="1" si="13"/>
        <v>3.8123162995051905E-7</v>
      </c>
      <c r="O54" s="122">
        <f t="shared" ca="1" si="14"/>
        <v>29910.151820528637</v>
      </c>
      <c r="P54" s="32">
        <f t="shared" ca="1" si="15"/>
        <v>11170461.659847356</v>
      </c>
      <c r="Q54" s="32">
        <f t="shared" ca="1" si="16"/>
        <v>1159854.5440311916</v>
      </c>
      <c r="R54" s="16">
        <f t="shared" ca="1" si="5"/>
        <v>9.7625768876680175E-4</v>
      </c>
    </row>
    <row r="55" spans="1:18">
      <c r="A55" s="71">
        <v>23291</v>
      </c>
      <c r="B55" s="71">
        <v>-1.8379270004516002E-2</v>
      </c>
      <c r="C55" s="71">
        <v>0.4</v>
      </c>
      <c r="D55" s="72">
        <f t="shared" si="6"/>
        <v>2.3290999999999999</v>
      </c>
      <c r="E55" s="72">
        <f t="shared" si="6"/>
        <v>-1.8379270004516002E-2</v>
      </c>
      <c r="F55" s="32">
        <f t="shared" si="7"/>
        <v>0.93164000000000002</v>
      </c>
      <c r="G55" s="32">
        <f t="shared" si="7"/>
        <v>-7.3517080018064007E-3</v>
      </c>
      <c r="H55" s="32">
        <f t="shared" si="8"/>
        <v>2.1698827239999998</v>
      </c>
      <c r="I55" s="32">
        <f t="shared" si="9"/>
        <v>5.0538738524683993</v>
      </c>
      <c r="J55" s="32">
        <f t="shared" si="10"/>
        <v>11.770977589784149</v>
      </c>
      <c r="K55" s="32">
        <f t="shared" si="11"/>
        <v>-1.7122863107007287E-2</v>
      </c>
      <c r="L55" s="32">
        <f t="shared" si="12"/>
        <v>-3.9880860462530671E-2</v>
      </c>
      <c r="M55" s="32">
        <f t="shared" ca="1" si="4"/>
        <v>-1.1514696765955956E-2</v>
      </c>
      <c r="N55" s="32">
        <f t="shared" ca="1" si="13"/>
        <v>1.8848946299021903E-5</v>
      </c>
      <c r="O55" s="122">
        <f t="shared" ca="1" si="14"/>
        <v>47177.090463517365</v>
      </c>
      <c r="P55" s="32">
        <f t="shared" ca="1" si="15"/>
        <v>8016052.5415304964</v>
      </c>
      <c r="Q55" s="32">
        <f t="shared" ca="1" si="16"/>
        <v>757613.78643879702</v>
      </c>
      <c r="R55" s="16">
        <f t="shared" ca="1" si="5"/>
        <v>-6.8645732385600455E-3</v>
      </c>
    </row>
    <row r="56" spans="1:18">
      <c r="A56" s="71">
        <v>23448</v>
      </c>
      <c r="B56" s="71">
        <v>-1.7680560005828738E-2</v>
      </c>
      <c r="C56" s="71">
        <v>1</v>
      </c>
      <c r="D56" s="72">
        <f t="shared" si="6"/>
        <v>2.3448000000000002</v>
      </c>
      <c r="E56" s="72">
        <f t="shared" si="6"/>
        <v>-1.7680560005828738E-2</v>
      </c>
      <c r="F56" s="32">
        <f t="shared" si="7"/>
        <v>2.3448000000000002</v>
      </c>
      <c r="G56" s="32">
        <f t="shared" si="7"/>
        <v>-1.7680560005828738E-2</v>
      </c>
      <c r="H56" s="32">
        <f t="shared" si="8"/>
        <v>5.4980870400000006</v>
      </c>
      <c r="I56" s="32">
        <f t="shared" si="9"/>
        <v>12.891914491392003</v>
      </c>
      <c r="J56" s="32">
        <f t="shared" si="10"/>
        <v>30.228961099415969</v>
      </c>
      <c r="K56" s="32">
        <f t="shared" si="11"/>
        <v>-4.1457377101667227E-2</v>
      </c>
      <c r="L56" s="32">
        <f t="shared" si="12"/>
        <v>-9.7209257827989323E-2</v>
      </c>
      <c r="M56" s="32">
        <f t="shared" ca="1" si="4"/>
        <v>-1.1948471729054479E-2</v>
      </c>
      <c r="N56" s="32">
        <f t="shared" ca="1" si="13"/>
        <v>3.2856836012732903E-5</v>
      </c>
      <c r="O56" s="122">
        <f t="shared" ca="1" si="14"/>
        <v>307994.6759846551</v>
      </c>
      <c r="P56" s="32">
        <f t="shared" ca="1" si="15"/>
        <v>47059812.641621351</v>
      </c>
      <c r="Q56" s="32">
        <f t="shared" ca="1" si="16"/>
        <v>4364378.8895789878</v>
      </c>
      <c r="R56" s="16">
        <f t="shared" ca="1" si="5"/>
        <v>-5.7320882767742595E-3</v>
      </c>
    </row>
    <row r="57" spans="1:18">
      <c r="A57" s="71">
        <v>23453.5</v>
      </c>
      <c r="B57" s="71">
        <v>-2.0699395005067345E-2</v>
      </c>
      <c r="C57" s="71">
        <v>1</v>
      </c>
      <c r="D57" s="72">
        <f t="shared" si="6"/>
        <v>2.3453499999999998</v>
      </c>
      <c r="E57" s="72">
        <f t="shared" si="6"/>
        <v>-2.0699395005067345E-2</v>
      </c>
      <c r="F57" s="32">
        <f t="shared" si="7"/>
        <v>2.3453499999999998</v>
      </c>
      <c r="G57" s="32">
        <f t="shared" si="7"/>
        <v>-2.0699395005067345E-2</v>
      </c>
      <c r="H57" s="32">
        <f t="shared" si="8"/>
        <v>5.5006666224999989</v>
      </c>
      <c r="I57" s="32">
        <f t="shared" si="9"/>
        <v>12.900988463080372</v>
      </c>
      <c r="J57" s="32">
        <f t="shared" si="10"/>
        <v>30.257333291885548</v>
      </c>
      <c r="K57" s="32">
        <f t="shared" si="11"/>
        <v>-4.8547326075134692E-2</v>
      </c>
      <c r="L57" s="32">
        <f t="shared" si="12"/>
        <v>-0.11386047121031714</v>
      </c>
      <c r="M57" s="32">
        <f t="shared" ca="1" si="4"/>
        <v>-1.1963762570114153E-2</v>
      </c>
      <c r="N57" s="32">
        <f t="shared" ca="1" si="13"/>
        <v>7.6311274038606228E-5</v>
      </c>
      <c r="O57" s="122">
        <f t="shared" ca="1" si="14"/>
        <v>308430.80892044515</v>
      </c>
      <c r="P57" s="32">
        <f t="shared" ca="1" si="15"/>
        <v>46953812.142952316</v>
      </c>
      <c r="Q57" s="32">
        <f t="shared" ca="1" si="16"/>
        <v>4351543.1955570122</v>
      </c>
      <c r="R57" s="16">
        <f t="shared" ca="1" si="5"/>
        <v>-8.7356324349531916E-3</v>
      </c>
    </row>
    <row r="58" spans="1:18">
      <c r="A58" s="71">
        <v>24145.5</v>
      </c>
      <c r="B58" s="71">
        <v>-1.7614634998608381E-2</v>
      </c>
      <c r="C58" s="71">
        <v>1</v>
      </c>
      <c r="D58" s="72">
        <f t="shared" si="6"/>
        <v>2.4145500000000002</v>
      </c>
      <c r="E58" s="72">
        <f t="shared" si="6"/>
        <v>-1.7614634998608381E-2</v>
      </c>
      <c r="F58" s="32">
        <f t="shared" si="7"/>
        <v>2.4145500000000002</v>
      </c>
      <c r="G58" s="32">
        <f t="shared" si="7"/>
        <v>-1.7614634998608381E-2</v>
      </c>
      <c r="H58" s="32">
        <f t="shared" si="8"/>
        <v>5.8300517025000014</v>
      </c>
      <c r="I58" s="32">
        <f t="shared" si="9"/>
        <v>14.07695133827138</v>
      </c>
      <c r="J58" s="32">
        <f t="shared" si="10"/>
        <v>33.989502853823161</v>
      </c>
      <c r="K58" s="32">
        <f t="shared" si="11"/>
        <v>-4.2531416935889868E-2</v>
      </c>
      <c r="L58" s="32">
        <f t="shared" si="12"/>
        <v>-0.10269423276255289</v>
      </c>
      <c r="M58" s="32">
        <f t="shared" ca="1" si="4"/>
        <v>-1.3938880714499134E-2</v>
      </c>
      <c r="N58" s="32">
        <f t="shared" ca="1" si="13"/>
        <v>1.3511169557147479E-5</v>
      </c>
      <c r="O58" s="122">
        <f t="shared" ca="1" si="14"/>
        <v>348736.75063587038</v>
      </c>
      <c r="P58" s="32">
        <f t="shared" ca="1" si="15"/>
        <v>34011604.746566989</v>
      </c>
      <c r="Q58" s="32">
        <f t="shared" ca="1" si="16"/>
        <v>2833510.5359729892</v>
      </c>
      <c r="R58" s="16">
        <f t="shared" ca="1" si="5"/>
        <v>-3.6757542841092464E-3</v>
      </c>
    </row>
    <row r="59" spans="1:18">
      <c r="A59" s="71">
        <v>24178</v>
      </c>
      <c r="B59" s="71">
        <v>-1.7498660003184341E-2</v>
      </c>
      <c r="C59" s="71">
        <v>1</v>
      </c>
      <c r="D59" s="72">
        <f t="shared" si="6"/>
        <v>2.4178000000000002</v>
      </c>
      <c r="E59" s="72">
        <f t="shared" si="6"/>
        <v>-1.7498660003184341E-2</v>
      </c>
      <c r="F59" s="32">
        <f t="shared" si="7"/>
        <v>2.4178000000000002</v>
      </c>
      <c r="G59" s="32">
        <f t="shared" si="7"/>
        <v>-1.7498660003184341E-2</v>
      </c>
      <c r="H59" s="32">
        <f t="shared" si="8"/>
        <v>5.8457568400000008</v>
      </c>
      <c r="I59" s="32">
        <f t="shared" si="9"/>
        <v>14.133870887752003</v>
      </c>
      <c r="J59" s="32">
        <f t="shared" si="10"/>
        <v>34.172873032406798</v>
      </c>
      <c r="K59" s="32">
        <f t="shared" si="11"/>
        <v>-4.23082601556991E-2</v>
      </c>
      <c r="L59" s="32">
        <f t="shared" si="12"/>
        <v>-0.10229291140444929</v>
      </c>
      <c r="M59" s="32">
        <f t="shared" ca="1" si="4"/>
        <v>-1.4034143025113938E-2</v>
      </c>
      <c r="N59" s="32">
        <f t="shared" ca="1" si="13"/>
        <v>1.200287789133808E-5</v>
      </c>
      <c r="O59" s="122">
        <f t="shared" ca="1" si="14"/>
        <v>349867.90838209452</v>
      </c>
      <c r="P59" s="32">
        <f t="shared" ca="1" si="15"/>
        <v>33428035.233885098</v>
      </c>
      <c r="Q59" s="32">
        <f t="shared" ca="1" si="16"/>
        <v>2767604.9865127769</v>
      </c>
      <c r="R59" s="16">
        <f t="shared" ca="1" si="5"/>
        <v>-3.4645169780704033E-3</v>
      </c>
    </row>
    <row r="60" spans="1:18">
      <c r="A60" s="71">
        <v>24343.5</v>
      </c>
      <c r="B60" s="71">
        <v>-1.8192695002653636E-2</v>
      </c>
      <c r="C60" s="71">
        <v>1</v>
      </c>
      <c r="D60" s="72">
        <f t="shared" si="6"/>
        <v>2.4343499999999998</v>
      </c>
      <c r="E60" s="72">
        <f t="shared" si="6"/>
        <v>-1.8192695002653636E-2</v>
      </c>
      <c r="F60" s="32">
        <f t="shared" si="7"/>
        <v>2.4343499999999998</v>
      </c>
      <c r="G60" s="32">
        <f t="shared" si="7"/>
        <v>-1.8192695002653636E-2</v>
      </c>
      <c r="H60" s="32">
        <f t="shared" si="8"/>
        <v>5.9260599224999986</v>
      </c>
      <c r="I60" s="32">
        <f t="shared" si="9"/>
        <v>14.42610397233787</v>
      </c>
      <c r="J60" s="32">
        <f t="shared" si="10"/>
        <v>35.118186205060688</v>
      </c>
      <c r="K60" s="32">
        <f t="shared" si="11"/>
        <v>-4.4287387079709875E-2</v>
      </c>
      <c r="L60" s="32">
        <f t="shared" si="12"/>
        <v>-0.10781100073749172</v>
      </c>
      <c r="M60" s="32">
        <f t="shared" ca="1" si="4"/>
        <v>-1.4522727599177471E-2</v>
      </c>
      <c r="N60" s="32">
        <f t="shared" ca="1" si="13"/>
        <v>1.3468660742577587E-5</v>
      </c>
      <c r="O60" s="122">
        <f t="shared" ca="1" si="14"/>
        <v>354503.82095749601</v>
      </c>
      <c r="P60" s="32">
        <f t="shared" ca="1" si="15"/>
        <v>30498856.080011915</v>
      </c>
      <c r="Q60" s="32">
        <f t="shared" ca="1" si="16"/>
        <v>2440643.4079979905</v>
      </c>
      <c r="R60" s="16">
        <f t="shared" ca="1" si="5"/>
        <v>-3.6699674034761653E-3</v>
      </c>
    </row>
    <row r="61" spans="1:18">
      <c r="A61" s="71">
        <v>24348.5</v>
      </c>
      <c r="B61" s="71">
        <v>-1.8782544997520745E-2</v>
      </c>
      <c r="C61" s="71">
        <v>0.5</v>
      </c>
      <c r="D61" s="72">
        <f t="shared" si="6"/>
        <v>2.43485</v>
      </c>
      <c r="E61" s="72">
        <f t="shared" si="6"/>
        <v>-1.8782544997520745E-2</v>
      </c>
      <c r="F61" s="32">
        <f t="shared" si="7"/>
        <v>1.217425</v>
      </c>
      <c r="G61" s="32">
        <f t="shared" si="7"/>
        <v>-9.3912724987603724E-3</v>
      </c>
      <c r="H61" s="32">
        <f t="shared" si="8"/>
        <v>2.9642472612499997</v>
      </c>
      <c r="I61" s="32">
        <f t="shared" si="9"/>
        <v>7.2174974440545618</v>
      </c>
      <c r="J61" s="32">
        <f t="shared" si="10"/>
        <v>17.573523651656249</v>
      </c>
      <c r="K61" s="32">
        <f t="shared" si="11"/>
        <v>-2.2866339843606691E-2</v>
      </c>
      <c r="L61" s="32">
        <f t="shared" si="12"/>
        <v>-5.5676107568205749E-2</v>
      </c>
      <c r="M61" s="32">
        <f t="shared" ca="1" si="4"/>
        <v>-1.453757898517212E-2</v>
      </c>
      <c r="N61" s="32">
        <f t="shared" ca="1" si="13"/>
        <v>9.0098682229974923E-6</v>
      </c>
      <c r="O61" s="122">
        <f t="shared" ca="1" si="14"/>
        <v>88653.596142420254</v>
      </c>
      <c r="P61" s="32">
        <f t="shared" ca="1" si="15"/>
        <v>7602880.3443975672</v>
      </c>
      <c r="Q61" s="32">
        <f t="shared" ca="1" si="16"/>
        <v>607749.3578833295</v>
      </c>
      <c r="R61" s="16">
        <f t="shared" ca="1" si="5"/>
        <v>-4.2449660123486249E-3</v>
      </c>
    </row>
    <row r="62" spans="1:18">
      <c r="A62" s="71">
        <v>24349</v>
      </c>
      <c r="B62" s="71">
        <v>-1.9811530000879429E-2</v>
      </c>
      <c r="C62" s="71">
        <v>0.4</v>
      </c>
      <c r="D62" s="72">
        <f t="shared" si="6"/>
        <v>2.4348999999999998</v>
      </c>
      <c r="E62" s="72">
        <f t="shared" si="6"/>
        <v>-1.9811530000879429E-2</v>
      </c>
      <c r="F62" s="32">
        <f t="shared" si="7"/>
        <v>0.97395999999999994</v>
      </c>
      <c r="G62" s="32">
        <f t="shared" si="7"/>
        <v>-7.9246120003517717E-3</v>
      </c>
      <c r="H62" s="32">
        <f t="shared" si="8"/>
        <v>2.3714952039999999</v>
      </c>
      <c r="I62" s="32">
        <f t="shared" si="9"/>
        <v>5.7743536722195996</v>
      </c>
      <c r="J62" s="32">
        <f t="shared" si="10"/>
        <v>14.059973756487501</v>
      </c>
      <c r="K62" s="32">
        <f t="shared" si="11"/>
        <v>-1.9295637759656526E-2</v>
      </c>
      <c r="L62" s="32">
        <f t="shared" si="12"/>
        <v>-4.6982948380987676E-2</v>
      </c>
      <c r="M62" s="32">
        <f t="shared" ca="1" si="4"/>
        <v>-1.4539064415780387E-2</v>
      </c>
      <c r="N62" s="32">
        <f t="shared" ca="1" si="13"/>
        <v>1.1119557338421516E-5</v>
      </c>
      <c r="O62" s="122">
        <f t="shared" ca="1" si="14"/>
        <v>56740.055232858278</v>
      </c>
      <c r="P62" s="32">
        <f t="shared" ca="1" si="15"/>
        <v>4864446.6873800829</v>
      </c>
      <c r="Q62" s="32">
        <f t="shared" ca="1" si="16"/>
        <v>388805.37622804428</v>
      </c>
      <c r="R62" s="16">
        <f t="shared" ca="1" si="5"/>
        <v>-5.2724655850990426E-3</v>
      </c>
    </row>
    <row r="63" spans="1:18">
      <c r="A63" s="71">
        <v>24365.5</v>
      </c>
      <c r="B63" s="71">
        <v>-1.826803499716334E-2</v>
      </c>
      <c r="C63" s="71">
        <v>0.5</v>
      </c>
      <c r="D63" s="72">
        <f t="shared" si="6"/>
        <v>2.43655</v>
      </c>
      <c r="E63" s="72">
        <f t="shared" si="6"/>
        <v>-1.826803499716334E-2</v>
      </c>
      <c r="F63" s="32">
        <f t="shared" si="7"/>
        <v>1.218275</v>
      </c>
      <c r="G63" s="32">
        <f t="shared" si="7"/>
        <v>-9.1340174985816702E-3</v>
      </c>
      <c r="H63" s="32">
        <f t="shared" si="8"/>
        <v>2.96838795125</v>
      </c>
      <c r="I63" s="32">
        <f t="shared" si="9"/>
        <v>7.2326256626181875</v>
      </c>
      <c r="J63" s="32">
        <f t="shared" si="10"/>
        <v>17.622654058252344</v>
      </c>
      <c r="K63" s="32">
        <f t="shared" si="11"/>
        <v>-2.2255490336169168E-2</v>
      </c>
      <c r="L63" s="32">
        <f t="shared" si="12"/>
        <v>-5.4226614978592984E-2</v>
      </c>
      <c r="M63" s="32">
        <f t="shared" ca="1" si="4"/>
        <v>-1.4588113410751488E-2</v>
      </c>
      <c r="N63" s="32">
        <f t="shared" ca="1" si="13"/>
        <v>6.7709114410699617E-6</v>
      </c>
      <c r="O63" s="122">
        <f t="shared" ca="1" si="14"/>
        <v>88744.318883916931</v>
      </c>
      <c r="P63" s="32">
        <f t="shared" ca="1" si="15"/>
        <v>7528778.5489059286</v>
      </c>
      <c r="Q63" s="32">
        <f t="shared" ca="1" si="16"/>
        <v>599576.43716180034</v>
      </c>
      <c r="R63" s="16">
        <f t="shared" ca="1" si="5"/>
        <v>-3.6799215864118523E-3</v>
      </c>
    </row>
    <row r="64" spans="1:18">
      <c r="A64" s="71">
        <v>24376</v>
      </c>
      <c r="B64" s="71">
        <v>-1.6276720001769718E-2</v>
      </c>
      <c r="C64" s="71">
        <v>0.4</v>
      </c>
      <c r="D64" s="72">
        <f t="shared" si="6"/>
        <v>2.4376000000000002</v>
      </c>
      <c r="E64" s="72">
        <f t="shared" si="6"/>
        <v>-1.6276720001769718E-2</v>
      </c>
      <c r="F64" s="32">
        <f t="shared" si="7"/>
        <v>0.97504000000000013</v>
      </c>
      <c r="G64" s="32">
        <f t="shared" si="7"/>
        <v>-6.5106880007078875E-3</v>
      </c>
      <c r="H64" s="32">
        <f t="shared" si="8"/>
        <v>2.3767575040000004</v>
      </c>
      <c r="I64" s="32">
        <f t="shared" si="9"/>
        <v>5.7935840917504011</v>
      </c>
      <c r="J64" s="32">
        <f t="shared" si="10"/>
        <v>14.122440582050778</v>
      </c>
      <c r="K64" s="32">
        <f t="shared" si="11"/>
        <v>-1.5870453070525547E-2</v>
      </c>
      <c r="L64" s="32">
        <f t="shared" si="12"/>
        <v>-3.8685816404713073E-2</v>
      </c>
      <c r="M64" s="32">
        <f t="shared" ca="1" si="4"/>
        <v>-1.4619356511004551E-2</v>
      </c>
      <c r="N64" s="32">
        <f t="shared" ca="1" si="13"/>
        <v>1.0987414962085195E-6</v>
      </c>
      <c r="O64" s="122">
        <f t="shared" ca="1" si="14"/>
        <v>56830.615661127456</v>
      </c>
      <c r="P64" s="32">
        <f t="shared" ca="1" si="15"/>
        <v>4789192.3082318855</v>
      </c>
      <c r="Q64" s="32">
        <f t="shared" ca="1" si="16"/>
        <v>380511.19938409067</v>
      </c>
      <c r="R64" s="16">
        <f t="shared" ca="1" si="5"/>
        <v>-1.6573634907651666E-3</v>
      </c>
    </row>
    <row r="65" spans="1:18">
      <c r="A65" s="71">
        <v>25316</v>
      </c>
      <c r="B65" s="71">
        <v>-1.2368520001473371E-2</v>
      </c>
      <c r="C65" s="71">
        <v>1</v>
      </c>
      <c r="D65" s="72">
        <f t="shared" si="6"/>
        <v>2.5316000000000001</v>
      </c>
      <c r="E65" s="72">
        <f t="shared" si="6"/>
        <v>-1.2368520001473371E-2</v>
      </c>
      <c r="F65" s="32">
        <f t="shared" si="7"/>
        <v>2.5316000000000001</v>
      </c>
      <c r="G65" s="32">
        <f t="shared" si="7"/>
        <v>-1.2368520001473371E-2</v>
      </c>
      <c r="H65" s="32">
        <f t="shared" si="8"/>
        <v>6.4089985600000006</v>
      </c>
      <c r="I65" s="32">
        <f t="shared" si="9"/>
        <v>16.225020754496001</v>
      </c>
      <c r="J65" s="32">
        <f t="shared" si="10"/>
        <v>41.075262542082079</v>
      </c>
      <c r="K65" s="32">
        <f t="shared" si="11"/>
        <v>-3.1312145235729984E-2</v>
      </c>
      <c r="L65" s="32">
        <f t="shared" si="12"/>
        <v>-7.9269826878774027E-2</v>
      </c>
      <c r="M65" s="32">
        <f t="shared" ca="1" si="4"/>
        <v>-1.751123099714913E-2</v>
      </c>
      <c r="N65" s="32">
        <f t="shared" ca="1" si="13"/>
        <v>2.6447476385044354E-5</v>
      </c>
      <c r="O65" s="122">
        <f t="shared" ca="1" si="14"/>
        <v>343030.56676031713</v>
      </c>
      <c r="P65" s="32">
        <f t="shared" ca="1" si="15"/>
        <v>15136159.293737087</v>
      </c>
      <c r="Q65" s="32">
        <f t="shared" ca="1" si="16"/>
        <v>865185.58020098612</v>
      </c>
      <c r="R65" s="16">
        <f t="shared" ca="1" si="5"/>
        <v>5.1427109956757588E-3</v>
      </c>
    </row>
    <row r="66" spans="1:18">
      <c r="A66" s="71">
        <v>25321</v>
      </c>
      <c r="B66" s="71">
        <v>-1.3958370000182185E-2</v>
      </c>
      <c r="C66" s="71">
        <v>1</v>
      </c>
      <c r="D66" s="72">
        <f t="shared" si="6"/>
        <v>2.5320999999999998</v>
      </c>
      <c r="E66" s="72">
        <f t="shared" si="6"/>
        <v>-1.3958370000182185E-2</v>
      </c>
      <c r="F66" s="32">
        <f t="shared" si="7"/>
        <v>2.5320999999999998</v>
      </c>
      <c r="G66" s="32">
        <f t="shared" si="7"/>
        <v>-1.3958370000182185E-2</v>
      </c>
      <c r="H66" s="32">
        <f t="shared" si="8"/>
        <v>6.4115304099999992</v>
      </c>
      <c r="I66" s="32">
        <f t="shared" si="9"/>
        <v>16.234636151160998</v>
      </c>
      <c r="J66" s="32">
        <f t="shared" si="10"/>
        <v>41.107722198354757</v>
      </c>
      <c r="K66" s="32">
        <f t="shared" si="11"/>
        <v>-3.5343988677461309E-2</v>
      </c>
      <c r="L66" s="32">
        <f t="shared" si="12"/>
        <v>-8.9494513730199773E-2</v>
      </c>
      <c r="M66" s="32">
        <f t="shared" ca="1" si="4"/>
        <v>-1.7527115032466921E-2</v>
      </c>
      <c r="N66" s="32">
        <f t="shared" ca="1" si="13"/>
        <v>1.2735941105456977E-5</v>
      </c>
      <c r="O66" s="122">
        <f t="shared" ca="1" si="14"/>
        <v>342803.11790155445</v>
      </c>
      <c r="P66" s="32">
        <f t="shared" ca="1" si="15"/>
        <v>15067186.942124125</v>
      </c>
      <c r="Q66" s="32">
        <f t="shared" ca="1" si="16"/>
        <v>858851.40042958769</v>
      </c>
      <c r="R66" s="16">
        <f t="shared" ca="1" si="5"/>
        <v>3.5687450322847356E-3</v>
      </c>
    </row>
    <row r="67" spans="1:18">
      <c r="A67" s="71">
        <v>26170.5</v>
      </c>
      <c r="B67" s="71">
        <v>-2.0203885003866162E-2</v>
      </c>
      <c r="C67" s="71">
        <v>1</v>
      </c>
      <c r="D67" s="72">
        <f t="shared" si="6"/>
        <v>2.6170499999999999</v>
      </c>
      <c r="E67" s="72">
        <f t="shared" si="6"/>
        <v>-2.0203885003866162E-2</v>
      </c>
      <c r="F67" s="32">
        <f t="shared" si="7"/>
        <v>2.6170499999999999</v>
      </c>
      <c r="G67" s="32">
        <f t="shared" si="7"/>
        <v>-2.0203885003866162E-2</v>
      </c>
      <c r="H67" s="32">
        <f t="shared" si="8"/>
        <v>6.8489507024999989</v>
      </c>
      <c r="I67" s="32">
        <f t="shared" si="9"/>
        <v>17.924046435977623</v>
      </c>
      <c r="J67" s="32">
        <f t="shared" si="10"/>
        <v>46.908125725275234</v>
      </c>
      <c r="K67" s="32">
        <f t="shared" si="11"/>
        <v>-5.2874577249367935E-2</v>
      </c>
      <c r="L67" s="32">
        <f t="shared" si="12"/>
        <v>-0.13837541239045834</v>
      </c>
      <c r="M67" s="32">
        <f t="shared" ca="1" si="4"/>
        <v>-2.0302892100335007E-2</v>
      </c>
      <c r="N67" s="32">
        <f t="shared" ca="1" si="13"/>
        <v>9.8024051511911764E-9</v>
      </c>
      <c r="O67" s="122">
        <f t="shared" ca="1" si="14"/>
        <v>282038.32933555986</v>
      </c>
      <c r="P67" s="32">
        <f t="shared" ca="1" si="15"/>
        <v>5299832.414009219</v>
      </c>
      <c r="Q67" s="32">
        <f t="shared" ca="1" si="16"/>
        <v>104478.56020689932</v>
      </c>
      <c r="R67" s="16">
        <f t="shared" ca="1" si="5"/>
        <v>9.9007096468844979E-5</v>
      </c>
    </row>
    <row r="68" spans="1:18">
      <c r="A68" s="71">
        <v>26363.5</v>
      </c>
      <c r="B68" s="71">
        <v>-2.6992095001332927E-2</v>
      </c>
      <c r="C68" s="71">
        <v>0.5</v>
      </c>
      <c r="D68" s="72">
        <f t="shared" si="6"/>
        <v>2.6363500000000002</v>
      </c>
      <c r="E68" s="72">
        <f t="shared" si="6"/>
        <v>-2.6992095001332927E-2</v>
      </c>
      <c r="F68" s="32">
        <f t="shared" si="7"/>
        <v>1.3181750000000001</v>
      </c>
      <c r="G68" s="32">
        <f t="shared" si="7"/>
        <v>-1.3496047500666464E-2</v>
      </c>
      <c r="H68" s="32">
        <f t="shared" si="8"/>
        <v>3.4751706612500004</v>
      </c>
      <c r="I68" s="32">
        <f t="shared" si="9"/>
        <v>9.1617661727864395</v>
      </c>
      <c r="J68" s="32">
        <f t="shared" si="10"/>
        <v>24.153622249625531</v>
      </c>
      <c r="K68" s="32">
        <f t="shared" si="11"/>
        <v>-3.5580304828382037E-2</v>
      </c>
      <c r="L68" s="32">
        <f t="shared" si="12"/>
        <v>-9.3802136634304992E-2</v>
      </c>
      <c r="M68" s="32">
        <f t="shared" ca="1" si="4"/>
        <v>-2.0954892429447126E-2</v>
      </c>
      <c r="N68" s="32">
        <f t="shared" ca="1" si="13"/>
        <v>1.8223907446992265E-5</v>
      </c>
      <c r="O68" s="122">
        <f t="shared" ca="1" si="14"/>
        <v>65733.271069004681</v>
      </c>
      <c r="P68" s="32">
        <f t="shared" ca="1" si="15"/>
        <v>924857.20133994485</v>
      </c>
      <c r="Q68" s="32">
        <f t="shared" ca="1" si="16"/>
        <v>8053.1626967824332</v>
      </c>
      <c r="R68" s="16">
        <f t="shared" ca="1" si="5"/>
        <v>-6.0372025718858011E-3</v>
      </c>
    </row>
    <row r="69" spans="1:18">
      <c r="A69" s="71">
        <v>26553</v>
      </c>
      <c r="B69" s="71">
        <v>-2.8377410002576653E-2</v>
      </c>
      <c r="C69" s="71">
        <v>0.4</v>
      </c>
      <c r="D69" s="72">
        <f t="shared" si="6"/>
        <v>2.6553</v>
      </c>
      <c r="E69" s="72">
        <f t="shared" si="6"/>
        <v>-2.8377410002576653E-2</v>
      </c>
      <c r="F69" s="32">
        <f t="shared" si="7"/>
        <v>1.06212</v>
      </c>
      <c r="G69" s="32">
        <f t="shared" si="7"/>
        <v>-1.1350964001030662E-2</v>
      </c>
      <c r="H69" s="32">
        <f t="shared" si="8"/>
        <v>2.8202472359999997</v>
      </c>
      <c r="I69" s="32">
        <f t="shared" si="9"/>
        <v>7.4886024857507989</v>
      </c>
      <c r="J69" s="32">
        <f t="shared" si="10"/>
        <v>19.884486180414097</v>
      </c>
      <c r="K69" s="32">
        <f t="shared" si="11"/>
        <v>-3.0140214711936716E-2</v>
      </c>
      <c r="L69" s="32">
        <f t="shared" si="12"/>
        <v>-8.0031312124605569E-2</v>
      </c>
      <c r="M69" s="32">
        <f t="shared" ca="1" si="4"/>
        <v>-2.1602765606864707E-2</v>
      </c>
      <c r="N69" s="32">
        <f t="shared" ca="1" si="13"/>
        <v>1.8358322675340511E-5</v>
      </c>
      <c r="O69" s="122">
        <f t="shared" ca="1" si="14"/>
        <v>38834.170109555504</v>
      </c>
      <c r="P69" s="32">
        <f t="shared" ca="1" si="15"/>
        <v>381600.29055514716</v>
      </c>
      <c r="Q69" s="32">
        <f t="shared" ca="1" si="16"/>
        <v>206.6837939475131</v>
      </c>
      <c r="R69" s="16">
        <f t="shared" ca="1" si="5"/>
        <v>-6.7746443957119457E-3</v>
      </c>
    </row>
    <row r="70" spans="1:18">
      <c r="A70" s="71">
        <v>27218</v>
      </c>
      <c r="B70" s="71">
        <v>-2.6927459999569692E-2</v>
      </c>
      <c r="C70" s="71">
        <v>1</v>
      </c>
      <c r="D70" s="72">
        <f t="shared" si="6"/>
        <v>2.7218</v>
      </c>
      <c r="E70" s="72">
        <f t="shared" si="6"/>
        <v>-2.6927459999569692E-2</v>
      </c>
      <c r="F70" s="32">
        <f t="shared" si="7"/>
        <v>2.7218</v>
      </c>
      <c r="G70" s="32">
        <f t="shared" si="7"/>
        <v>-2.6927459999569692E-2</v>
      </c>
      <c r="H70" s="32">
        <f t="shared" si="8"/>
        <v>7.4081952400000004</v>
      </c>
      <c r="I70" s="32">
        <f t="shared" si="9"/>
        <v>20.163625804232002</v>
      </c>
      <c r="J70" s="32">
        <f t="shared" si="10"/>
        <v>54.88135671395866</v>
      </c>
      <c r="K70" s="32">
        <f t="shared" si="11"/>
        <v>-7.3291160626828791E-2</v>
      </c>
      <c r="L70" s="32">
        <f t="shared" si="12"/>
        <v>-0.19948388099410261</v>
      </c>
      <c r="M70" s="32">
        <f t="shared" ca="1" si="4"/>
        <v>-2.3936643566948197E-2</v>
      </c>
      <c r="N70" s="32">
        <f t="shared" ca="1" si="13"/>
        <v>8.9449829336387617E-6</v>
      </c>
      <c r="O70" s="122">
        <f t="shared" ca="1" si="14"/>
        <v>164280.61796980802</v>
      </c>
      <c r="P70" s="32">
        <f t="shared" ca="1" si="15"/>
        <v>24965.193752929292</v>
      </c>
      <c r="Q70" s="32">
        <f t="shared" ca="1" si="16"/>
        <v>236698.99467699573</v>
      </c>
      <c r="R70" s="16">
        <f t="shared" ca="1" si="5"/>
        <v>-2.9908164326214945E-3</v>
      </c>
    </row>
    <row r="71" spans="1:18">
      <c r="A71" s="71">
        <v>27306</v>
      </c>
      <c r="B71" s="71">
        <v>-2.702881999721285E-2</v>
      </c>
      <c r="C71" s="71">
        <v>1</v>
      </c>
      <c r="D71" s="72">
        <f t="shared" si="6"/>
        <v>2.7305999999999999</v>
      </c>
      <c r="E71" s="72">
        <f t="shared" si="6"/>
        <v>-2.702881999721285E-2</v>
      </c>
      <c r="F71" s="32">
        <f t="shared" si="7"/>
        <v>2.7305999999999999</v>
      </c>
      <c r="G71" s="32">
        <f t="shared" si="7"/>
        <v>-2.702881999721285E-2</v>
      </c>
      <c r="H71" s="32">
        <f t="shared" si="8"/>
        <v>7.4561763599999997</v>
      </c>
      <c r="I71" s="32">
        <f t="shared" si="9"/>
        <v>20.359835168615998</v>
      </c>
      <c r="J71" s="32">
        <f t="shared" si="10"/>
        <v>55.594565911422841</v>
      </c>
      <c r="K71" s="32">
        <f t="shared" si="11"/>
        <v>-7.3804895884389404E-2</v>
      </c>
      <c r="L71" s="32">
        <f t="shared" si="12"/>
        <v>-0.2015316487019137</v>
      </c>
      <c r="M71" s="32">
        <f t="shared" ca="1" si="4"/>
        <v>-2.4252523811871284E-2</v>
      </c>
      <c r="N71" s="32">
        <f t="shared" ca="1" si="13"/>
        <v>7.7078205087421309E-6</v>
      </c>
      <c r="O71" s="122">
        <f t="shared" ca="1" si="14"/>
        <v>153508.22648933897</v>
      </c>
      <c r="P71" s="32">
        <f t="shared" ca="1" si="15"/>
        <v>1024.2344716118876</v>
      </c>
      <c r="Q71" s="32">
        <f t="shared" ca="1" si="16"/>
        <v>311186.81654174946</v>
      </c>
      <c r="R71" s="16">
        <f t="shared" ca="1" si="5"/>
        <v>-2.776296185341566E-3</v>
      </c>
    </row>
    <row r="72" spans="1:18">
      <c r="A72" s="71">
        <v>27510.5</v>
      </c>
      <c r="B72" s="71">
        <v>-2.6883685000939295E-2</v>
      </c>
      <c r="C72" s="71">
        <v>0.5</v>
      </c>
      <c r="D72" s="72">
        <f t="shared" si="6"/>
        <v>2.7510500000000002</v>
      </c>
      <c r="E72" s="72">
        <f t="shared" si="6"/>
        <v>-2.6883685000939295E-2</v>
      </c>
      <c r="F72" s="32">
        <f t="shared" si="7"/>
        <v>1.3755250000000001</v>
      </c>
      <c r="G72" s="32">
        <f t="shared" si="7"/>
        <v>-1.3441842500469647E-2</v>
      </c>
      <c r="H72" s="32">
        <f t="shared" si="8"/>
        <v>3.7841380512500007</v>
      </c>
      <c r="I72" s="32">
        <f t="shared" si="9"/>
        <v>10.410352985891315</v>
      </c>
      <c r="J72" s="32">
        <f t="shared" si="10"/>
        <v>28.639401581836303</v>
      </c>
      <c r="K72" s="32">
        <f t="shared" si="11"/>
        <v>-3.6979180810917028E-2</v>
      </c>
      <c r="L72" s="32">
        <f t="shared" si="12"/>
        <v>-0.1017315753698733</v>
      </c>
      <c r="M72" s="32">
        <f t="shared" ca="1" si="4"/>
        <v>-2.4992938016218803E-2</v>
      </c>
      <c r="N72" s="32">
        <f t="shared" ca="1" si="13"/>
        <v>1.787462080114815E-6</v>
      </c>
      <c r="O72" s="122">
        <f t="shared" ca="1" si="14"/>
        <v>32153.96989804602</v>
      </c>
      <c r="P72" s="32">
        <f t="shared" ca="1" si="15"/>
        <v>57472.697983608065</v>
      </c>
      <c r="Q72" s="32">
        <f t="shared" ca="1" si="16"/>
        <v>131610.17645162743</v>
      </c>
      <c r="R72" s="16">
        <f t="shared" ca="1" si="5"/>
        <v>-1.8907469847204914E-3</v>
      </c>
    </row>
    <row r="73" spans="1:18">
      <c r="A73" s="71">
        <v>27516</v>
      </c>
      <c r="B73" s="71">
        <v>-2.6302520003810059E-2</v>
      </c>
      <c r="C73" s="71">
        <v>1</v>
      </c>
      <c r="D73" s="72">
        <f t="shared" si="6"/>
        <v>2.7515999999999998</v>
      </c>
      <c r="E73" s="72">
        <f t="shared" si="6"/>
        <v>-2.6302520003810059E-2</v>
      </c>
      <c r="F73" s="32">
        <f t="shared" si="7"/>
        <v>2.7515999999999998</v>
      </c>
      <c r="G73" s="32">
        <f t="shared" si="7"/>
        <v>-2.6302520003810059E-2</v>
      </c>
      <c r="H73" s="32">
        <f t="shared" si="8"/>
        <v>7.5713025599999995</v>
      </c>
      <c r="I73" s="32">
        <f t="shared" si="9"/>
        <v>20.833196124095998</v>
      </c>
      <c r="J73" s="32">
        <f t="shared" si="10"/>
        <v>57.324622455062546</v>
      </c>
      <c r="K73" s="32">
        <f t="shared" si="11"/>
        <v>-7.2374014042483753E-2</v>
      </c>
      <c r="L73" s="32">
        <f t="shared" si="12"/>
        <v>-0.19914433703929829</v>
      </c>
      <c r="M73" s="32">
        <f t="shared" ca="1" si="4"/>
        <v>-2.5012974000376553E-2</v>
      </c>
      <c r="N73" s="32">
        <f t="shared" ca="1" si="13"/>
        <v>1.6629288949713278E-6</v>
      </c>
      <c r="O73" s="122">
        <f t="shared" ca="1" si="14"/>
        <v>127952.40112312901</v>
      </c>
      <c r="P73" s="32">
        <f t="shared" ca="1" si="15"/>
        <v>241688.26571297328</v>
      </c>
      <c r="Q73" s="32">
        <f t="shared" ca="1" si="16"/>
        <v>533062.49368676706</v>
      </c>
      <c r="R73" s="16">
        <f t="shared" ca="1" si="5"/>
        <v>-1.289546003433506E-3</v>
      </c>
    </row>
    <row r="74" spans="1:18">
      <c r="A74" s="71">
        <v>27544</v>
      </c>
      <c r="B74" s="71">
        <v>-2.6025679995655082E-2</v>
      </c>
      <c r="C74" s="71">
        <v>0.5</v>
      </c>
      <c r="D74" s="72">
        <f t="shared" si="6"/>
        <v>2.7544</v>
      </c>
      <c r="E74" s="72">
        <f t="shared" si="6"/>
        <v>-2.6025679995655082E-2</v>
      </c>
      <c r="F74" s="32">
        <f t="shared" si="7"/>
        <v>1.3772</v>
      </c>
      <c r="G74" s="32">
        <f t="shared" si="7"/>
        <v>-1.3012839997827541E-2</v>
      </c>
      <c r="H74" s="32">
        <f t="shared" si="8"/>
        <v>3.79335968</v>
      </c>
      <c r="I74" s="32">
        <f t="shared" si="9"/>
        <v>10.448429902592</v>
      </c>
      <c r="J74" s="32">
        <f t="shared" si="10"/>
        <v>28.779155323699406</v>
      </c>
      <c r="K74" s="32">
        <f t="shared" si="11"/>
        <v>-3.584256649001618E-2</v>
      </c>
      <c r="L74" s="32">
        <f t="shared" si="12"/>
        <v>-9.8724765140100562E-2</v>
      </c>
      <c r="M74" s="32">
        <f t="shared" ca="1" si="4"/>
        <v>-2.5115074975819704E-2</v>
      </c>
      <c r="N74" s="32">
        <f t="shared" ca="1" si="13"/>
        <v>4.146007510746948E-7</v>
      </c>
      <c r="O74" s="122">
        <f t="shared" ca="1" si="14"/>
        <v>31145.437130424449</v>
      </c>
      <c r="P74" s="32">
        <f t="shared" ca="1" si="15"/>
        <v>76606.839798946574</v>
      </c>
      <c r="Q74" s="32">
        <f t="shared" ca="1" si="16"/>
        <v>141865.42481859538</v>
      </c>
      <c r="R74" s="16">
        <f t="shared" ca="1" si="5"/>
        <v>-9.1060501983537823E-4</v>
      </c>
    </row>
    <row r="75" spans="1:18">
      <c r="A75" s="71">
        <v>27574.5</v>
      </c>
      <c r="B75" s="71">
        <v>-2.719376500317594E-2</v>
      </c>
      <c r="C75" s="71">
        <v>1</v>
      </c>
      <c r="D75" s="72">
        <f t="shared" si="6"/>
        <v>2.75745</v>
      </c>
      <c r="E75" s="72">
        <f t="shared" si="6"/>
        <v>-2.719376500317594E-2</v>
      </c>
      <c r="F75" s="32">
        <f t="shared" si="7"/>
        <v>2.75745</v>
      </c>
      <c r="G75" s="32">
        <f t="shared" si="7"/>
        <v>-2.719376500317594E-2</v>
      </c>
      <c r="H75" s="32">
        <f t="shared" si="8"/>
        <v>7.6035305025</v>
      </c>
      <c r="I75" s="32">
        <f t="shared" si="9"/>
        <v>20.966355184118626</v>
      </c>
      <c r="J75" s="32">
        <f t="shared" si="10"/>
        <v>57.813676102447907</v>
      </c>
      <c r="K75" s="32">
        <f t="shared" si="11"/>
        <v>-7.4985447308007491E-2</v>
      </c>
      <c r="L75" s="32">
        <f t="shared" si="12"/>
        <v>-0.20676862167946525</v>
      </c>
      <c r="M75" s="32">
        <f t="shared" ca="1" si="4"/>
        <v>-2.5226481570407175E-2</v>
      </c>
      <c r="N75" s="32">
        <f t="shared" ca="1" si="13"/>
        <v>3.8702041048464581E-6</v>
      </c>
      <c r="O75" s="122">
        <f t="shared" ca="1" si="14"/>
        <v>120924.71091327335</v>
      </c>
      <c r="P75" s="32">
        <f t="shared" ca="1" si="15"/>
        <v>385897.46776344482</v>
      </c>
      <c r="Q75" s="32">
        <f t="shared" ca="1" si="16"/>
        <v>606247.75382948061</v>
      </c>
      <c r="R75" s="16">
        <f t="shared" ca="1" si="5"/>
        <v>-1.9672834327687655E-3</v>
      </c>
    </row>
    <row r="76" spans="1:18">
      <c r="A76" s="71">
        <v>27574.5</v>
      </c>
      <c r="B76" s="71">
        <v>-2.719376500317594E-2</v>
      </c>
      <c r="C76" s="71">
        <v>1</v>
      </c>
      <c r="D76" s="72">
        <f t="shared" si="6"/>
        <v>2.75745</v>
      </c>
      <c r="E76" s="72">
        <f t="shared" si="6"/>
        <v>-2.719376500317594E-2</v>
      </c>
      <c r="F76" s="32">
        <f t="shared" si="7"/>
        <v>2.75745</v>
      </c>
      <c r="G76" s="32">
        <f t="shared" si="7"/>
        <v>-2.719376500317594E-2</v>
      </c>
      <c r="H76" s="32">
        <f t="shared" si="8"/>
        <v>7.6035305025</v>
      </c>
      <c r="I76" s="32">
        <f t="shared" si="9"/>
        <v>20.966355184118626</v>
      </c>
      <c r="J76" s="32">
        <f t="shared" si="10"/>
        <v>57.813676102447907</v>
      </c>
      <c r="K76" s="32">
        <f t="shared" si="11"/>
        <v>-7.4985447308007491E-2</v>
      </c>
      <c r="L76" s="32">
        <f t="shared" si="12"/>
        <v>-0.20676862167946525</v>
      </c>
      <c r="M76" s="32">
        <f t="shared" ca="1" si="4"/>
        <v>-2.5226481570407175E-2</v>
      </c>
      <c r="N76" s="32">
        <f t="shared" ca="1" si="13"/>
        <v>3.8702041048464581E-6</v>
      </c>
      <c r="O76" s="122">
        <f t="shared" ca="1" si="14"/>
        <v>120924.71091327335</v>
      </c>
      <c r="P76" s="32">
        <f t="shared" ca="1" si="15"/>
        <v>385897.46776344482</v>
      </c>
      <c r="Q76" s="32">
        <f t="shared" ca="1" si="16"/>
        <v>606247.75382948061</v>
      </c>
      <c r="R76" s="16">
        <f t="shared" ca="1" si="5"/>
        <v>-1.9672834327687655E-3</v>
      </c>
    </row>
    <row r="77" spans="1:18">
      <c r="A77" s="71">
        <v>27574.5</v>
      </c>
      <c r="B77" s="71">
        <v>-2.629376500408398E-2</v>
      </c>
      <c r="C77" s="71">
        <v>1</v>
      </c>
      <c r="D77" s="72">
        <f t="shared" si="6"/>
        <v>2.75745</v>
      </c>
      <c r="E77" s="72">
        <f t="shared" si="6"/>
        <v>-2.629376500408398E-2</v>
      </c>
      <c r="F77" s="32">
        <f t="shared" si="7"/>
        <v>2.75745</v>
      </c>
      <c r="G77" s="32">
        <f t="shared" si="7"/>
        <v>-2.629376500408398E-2</v>
      </c>
      <c r="H77" s="32">
        <f t="shared" si="8"/>
        <v>7.6035305025</v>
      </c>
      <c r="I77" s="32">
        <f t="shared" si="9"/>
        <v>20.966355184118626</v>
      </c>
      <c r="J77" s="32">
        <f t="shared" si="10"/>
        <v>57.813676102447907</v>
      </c>
      <c r="K77" s="32">
        <f t="shared" si="11"/>
        <v>-7.2503742310511363E-2</v>
      </c>
      <c r="L77" s="32">
        <f t="shared" si="12"/>
        <v>-0.19992544423411956</v>
      </c>
      <c r="M77" s="32">
        <f t="shared" ca="1" si="4"/>
        <v>-2.5226481570407175E-2</v>
      </c>
      <c r="N77" s="32">
        <f t="shared" ca="1" si="13"/>
        <v>1.1390939278009511E-6</v>
      </c>
      <c r="O77" s="122">
        <f t="shared" ca="1" si="14"/>
        <v>120924.71091327335</v>
      </c>
      <c r="P77" s="32">
        <f t="shared" ca="1" si="15"/>
        <v>385897.46776344482</v>
      </c>
      <c r="Q77" s="32">
        <f t="shared" ca="1" si="16"/>
        <v>606247.75382948061</v>
      </c>
      <c r="R77" s="16">
        <f t="shared" ca="1" si="5"/>
        <v>-1.067283433676805E-3</v>
      </c>
    </row>
    <row r="78" spans="1:18">
      <c r="A78" s="71">
        <v>28209</v>
      </c>
      <c r="B78" s="71">
        <v>-2.5475730006291997E-2</v>
      </c>
      <c r="C78" s="71">
        <v>1</v>
      </c>
      <c r="D78" s="72">
        <f t="shared" si="6"/>
        <v>2.8209</v>
      </c>
      <c r="E78" s="72">
        <f t="shared" si="6"/>
        <v>-2.5475730006291997E-2</v>
      </c>
      <c r="F78" s="32">
        <f t="shared" si="7"/>
        <v>2.8209</v>
      </c>
      <c r="G78" s="32">
        <f t="shared" si="7"/>
        <v>-2.5475730006291997E-2</v>
      </c>
      <c r="H78" s="32">
        <f t="shared" si="8"/>
        <v>7.9574768100000002</v>
      </c>
      <c r="I78" s="32">
        <f t="shared" si="9"/>
        <v>22.447246333329002</v>
      </c>
      <c r="J78" s="32">
        <f t="shared" si="10"/>
        <v>63.321437181687777</v>
      </c>
      <c r="K78" s="32">
        <f t="shared" si="11"/>
        <v>-7.186448677474909E-2</v>
      </c>
      <c r="L78" s="32">
        <f t="shared" si="12"/>
        <v>-0.20272253074288971</v>
      </c>
      <c r="M78" s="32">
        <f t="shared" ca="1" si="4"/>
        <v>-2.7588907978310144E-2</v>
      </c>
      <c r="N78" s="32">
        <f t="shared" ca="1" si="13"/>
        <v>4.4655211414227298E-6</v>
      </c>
      <c r="O78" s="122">
        <f t="shared" ca="1" si="14"/>
        <v>51399.202375033994</v>
      </c>
      <c r="P78" s="32">
        <f t="shared" ca="1" si="15"/>
        <v>4285803.5350588635</v>
      </c>
      <c r="Q78" s="32">
        <f t="shared" ca="1" si="16"/>
        <v>1740427.3829337079</v>
      </c>
      <c r="R78" s="16">
        <f t="shared" ca="1" si="5"/>
        <v>2.1131779720181473E-3</v>
      </c>
    </row>
    <row r="79" spans="1:18">
      <c r="A79" s="71">
        <v>28280.5</v>
      </c>
      <c r="B79" s="71">
        <v>-2.64205849962309E-2</v>
      </c>
      <c r="C79" s="71">
        <v>1</v>
      </c>
      <c r="D79" s="72">
        <f t="shared" si="6"/>
        <v>2.8280500000000002</v>
      </c>
      <c r="E79" s="72">
        <f t="shared" si="6"/>
        <v>-2.64205849962309E-2</v>
      </c>
      <c r="F79" s="32">
        <f t="shared" si="7"/>
        <v>2.8280500000000002</v>
      </c>
      <c r="G79" s="32">
        <f t="shared" si="7"/>
        <v>-2.64205849962309E-2</v>
      </c>
      <c r="H79" s="32">
        <f t="shared" si="8"/>
        <v>7.9978668025000008</v>
      </c>
      <c r="I79" s="32">
        <f t="shared" si="9"/>
        <v>22.618367210810128</v>
      </c>
      <c r="J79" s="32">
        <f t="shared" si="10"/>
        <v>63.965873390531584</v>
      </c>
      <c r="K79" s="32">
        <f t="shared" si="11"/>
        <v>-7.4718735398590808E-2</v>
      </c>
      <c r="L79" s="32">
        <f t="shared" si="12"/>
        <v>-0.21130831964398475</v>
      </c>
      <c r="M79" s="32">
        <f t="shared" ca="1" si="4"/>
        <v>-2.7860483203324987E-2</v>
      </c>
      <c r="N79" s="32">
        <f t="shared" ca="1" si="13"/>
        <v>2.0733068467927658E-6</v>
      </c>
      <c r="O79" s="122">
        <f t="shared" ca="1" si="14"/>
        <v>44768.478384585491</v>
      </c>
      <c r="P79" s="32">
        <f t="shared" ca="1" si="15"/>
        <v>5010856.6320667276</v>
      </c>
      <c r="Q79" s="32">
        <f t="shared" ca="1" si="16"/>
        <v>1909483.9521097702</v>
      </c>
      <c r="R79" s="16">
        <f t="shared" ca="1" si="5"/>
        <v>1.4398982070940869E-3</v>
      </c>
    </row>
    <row r="80" spans="1:18">
      <c r="A80" s="71">
        <v>28366.5</v>
      </c>
      <c r="B80" s="71">
        <v>-2.6906005005002953E-2</v>
      </c>
      <c r="C80" s="71">
        <v>1</v>
      </c>
      <c r="D80" s="72">
        <f t="shared" si="6"/>
        <v>2.8366500000000001</v>
      </c>
      <c r="E80" s="72">
        <f t="shared" si="6"/>
        <v>-2.6906005005002953E-2</v>
      </c>
      <c r="F80" s="32">
        <f t="shared" si="7"/>
        <v>2.8366500000000001</v>
      </c>
      <c r="G80" s="32">
        <f t="shared" si="7"/>
        <v>-2.6906005005002953E-2</v>
      </c>
      <c r="H80" s="32">
        <f t="shared" si="8"/>
        <v>8.0465832225000007</v>
      </c>
      <c r="I80" s="32">
        <f t="shared" si="9"/>
        <v>22.825340298104628</v>
      </c>
      <c r="J80" s="32">
        <f t="shared" si="10"/>
        <v>64.747501556618502</v>
      </c>
      <c r="K80" s="32">
        <f t="shared" si="11"/>
        <v>-7.6322919097441627E-2</v>
      </c>
      <c r="L80" s="32">
        <f t="shared" si="12"/>
        <v>-0.21650140845775781</v>
      </c>
      <c r="M80" s="32">
        <f t="shared" ca="1" si="4"/>
        <v>-2.8188571400422864E-2</v>
      </c>
      <c r="N80" s="32">
        <f t="shared" ca="1" si="13"/>
        <v>1.6449765586604233E-6</v>
      </c>
      <c r="O80" s="122">
        <f t="shared" ca="1" si="14"/>
        <v>37244.971627394749</v>
      </c>
      <c r="P80" s="32">
        <f t="shared" ca="1" si="15"/>
        <v>5964514.1062822537</v>
      </c>
      <c r="Q80" s="32">
        <f t="shared" ca="1" si="16"/>
        <v>2124506.4135385146</v>
      </c>
      <c r="R80" s="16">
        <f t="shared" ca="1" si="5"/>
        <v>1.282566395419911E-3</v>
      </c>
    </row>
    <row r="81" spans="1:18">
      <c r="A81" s="71">
        <v>28423.5</v>
      </c>
      <c r="B81" s="71">
        <v>-2.6410294995002914E-2</v>
      </c>
      <c r="C81" s="71">
        <v>1</v>
      </c>
      <c r="D81" s="72">
        <f t="shared" si="6"/>
        <v>2.8423500000000002</v>
      </c>
      <c r="E81" s="72">
        <f t="shared" si="6"/>
        <v>-2.6410294995002914E-2</v>
      </c>
      <c r="F81" s="32">
        <f t="shared" si="7"/>
        <v>2.8423500000000002</v>
      </c>
      <c r="G81" s="32">
        <f t="shared" si="7"/>
        <v>-2.6410294995002914E-2</v>
      </c>
      <c r="H81" s="32">
        <f t="shared" si="8"/>
        <v>8.0789535225000009</v>
      </c>
      <c r="I81" s="32">
        <f t="shared" si="9"/>
        <v>22.963213544677878</v>
      </c>
      <c r="J81" s="32">
        <f t="shared" si="10"/>
        <v>65.269490018715175</v>
      </c>
      <c r="K81" s="32">
        <f t="shared" si="11"/>
        <v>-7.5067301979046541E-2</v>
      </c>
      <c r="L81" s="32">
        <f t="shared" si="12"/>
        <v>-0.21336754578014294</v>
      </c>
      <c r="M81" s="32">
        <f t="shared" ca="1" si="4"/>
        <v>-2.8406890719577201E-2</v>
      </c>
      <c r="N81" s="32">
        <f t="shared" ca="1" si="13"/>
        <v>3.9863944873883194E-6</v>
      </c>
      <c r="O81" s="122">
        <f t="shared" ca="1" si="14"/>
        <v>32552.703479845157</v>
      </c>
      <c r="P81" s="32">
        <f t="shared" ca="1" si="15"/>
        <v>6646492.1504593426</v>
      </c>
      <c r="Q81" s="32">
        <f t="shared" ca="1" si="16"/>
        <v>2274152.5947897779</v>
      </c>
      <c r="R81" s="16">
        <f t="shared" ca="1" si="5"/>
        <v>1.9965957245742863E-3</v>
      </c>
    </row>
    <row r="82" spans="1:18">
      <c r="A82" s="71">
        <v>29391</v>
      </c>
      <c r="B82" s="71">
        <v>-3.6696269999083597E-2</v>
      </c>
      <c r="C82" s="71">
        <v>1</v>
      </c>
      <c r="D82" s="72">
        <f t="shared" si="6"/>
        <v>2.9390999999999998</v>
      </c>
      <c r="E82" s="72">
        <f t="shared" si="6"/>
        <v>-3.6696269999083597E-2</v>
      </c>
      <c r="F82" s="32">
        <f t="shared" si="7"/>
        <v>2.9390999999999998</v>
      </c>
      <c r="G82" s="32">
        <f t="shared" si="7"/>
        <v>-3.6696269999083597E-2</v>
      </c>
      <c r="H82" s="32">
        <f t="shared" si="8"/>
        <v>8.6383088099999998</v>
      </c>
      <c r="I82" s="32">
        <f t="shared" si="9"/>
        <v>25.388853423470998</v>
      </c>
      <c r="J82" s="32">
        <f t="shared" si="10"/>
        <v>74.6203790969236</v>
      </c>
      <c r="K82" s="32">
        <f t="shared" si="11"/>
        <v>-0.1078540071543066</v>
      </c>
      <c r="L82" s="32">
        <f t="shared" si="12"/>
        <v>-0.31699371242722252</v>
      </c>
      <c r="M82" s="32">
        <f t="shared" ca="1" si="4"/>
        <v>-3.2217824890351056E-2</v>
      </c>
      <c r="N82" s="32">
        <f t="shared" ca="1" si="13"/>
        <v>2.0056470591930423E-5</v>
      </c>
      <c r="O82" s="122">
        <f t="shared" ca="1" si="14"/>
        <v>3859.1772012304586</v>
      </c>
      <c r="P82" s="32">
        <f t="shared" ca="1" si="15"/>
        <v>24818835.973083731</v>
      </c>
      <c r="Q82" s="32">
        <f t="shared" ca="1" si="16"/>
        <v>5746770.1195156826</v>
      </c>
      <c r="R82" s="16">
        <f t="shared" ca="1" si="5"/>
        <v>-4.4784451087325414E-3</v>
      </c>
    </row>
    <row r="83" spans="1:18">
      <c r="A83" s="71">
        <v>29480</v>
      </c>
      <c r="B83" s="71">
        <v>-3.6355600008391775E-2</v>
      </c>
      <c r="C83" s="71">
        <v>1</v>
      </c>
      <c r="D83" s="72">
        <f t="shared" si="6"/>
        <v>2.948</v>
      </c>
      <c r="E83" s="72">
        <f t="shared" si="6"/>
        <v>-3.6355600008391775E-2</v>
      </c>
      <c r="F83" s="32">
        <f t="shared" si="7"/>
        <v>2.948</v>
      </c>
      <c r="G83" s="32">
        <f t="shared" si="7"/>
        <v>-3.6355600008391775E-2</v>
      </c>
      <c r="H83" s="32">
        <f t="shared" si="8"/>
        <v>8.6907040000000002</v>
      </c>
      <c r="I83" s="32">
        <f t="shared" si="9"/>
        <v>25.620195391999999</v>
      </c>
      <c r="J83" s="32">
        <f t="shared" si="10"/>
        <v>75.528336015615992</v>
      </c>
      <c r="K83" s="32">
        <f t="shared" si="11"/>
        <v>-0.10717630882473896</v>
      </c>
      <c r="L83" s="32">
        <f t="shared" si="12"/>
        <v>-0.31595575841533041</v>
      </c>
      <c r="M83" s="32">
        <f t="shared" ca="1" si="4"/>
        <v>-3.257837586275026E-2</v>
      </c>
      <c r="N83" s="32">
        <f t="shared" ca="1" si="13"/>
        <v>1.4267422246417275E-5</v>
      </c>
      <c r="O83" s="122">
        <f t="shared" ca="1" si="14"/>
        <v>7605.472791430795</v>
      </c>
      <c r="P83" s="32">
        <f t="shared" ca="1" si="15"/>
        <v>27167755.491465505</v>
      </c>
      <c r="Q83" s="32">
        <f t="shared" ca="1" si="16"/>
        <v>6161035.9520709664</v>
      </c>
      <c r="R83" s="16">
        <f t="shared" ca="1" si="5"/>
        <v>-3.7772241456415154E-3</v>
      </c>
    </row>
    <row r="84" spans="1:18">
      <c r="A84" s="71">
        <v>30325.5</v>
      </c>
      <c r="B84" s="71">
        <v>-3.7969235003401991E-2</v>
      </c>
      <c r="C84" s="71">
        <v>1</v>
      </c>
      <c r="D84" s="72">
        <f t="shared" si="6"/>
        <v>3.0325500000000001</v>
      </c>
      <c r="E84" s="72">
        <f t="shared" si="6"/>
        <v>-3.7969235003401991E-2</v>
      </c>
      <c r="F84" s="32">
        <f t="shared" si="7"/>
        <v>3.0325500000000001</v>
      </c>
      <c r="G84" s="32">
        <f t="shared" si="7"/>
        <v>-3.7969235003401991E-2</v>
      </c>
      <c r="H84" s="32">
        <f t="shared" si="8"/>
        <v>9.1963595025</v>
      </c>
      <c r="I84" s="32">
        <f t="shared" si="9"/>
        <v>27.888420009306376</v>
      </c>
      <c r="J84" s="32">
        <f t="shared" si="10"/>
        <v>84.573028099222057</v>
      </c>
      <c r="K84" s="32">
        <f t="shared" si="11"/>
        <v>-0.11514360360956671</v>
      </c>
      <c r="L84" s="32">
        <f t="shared" si="12"/>
        <v>-0.34917873512619152</v>
      </c>
      <c r="M84" s="32">
        <f t="shared" ca="1" si="4"/>
        <v>-3.6087508982296353E-2</v>
      </c>
      <c r="N84" s="32">
        <f t="shared" ca="1" si="13"/>
        <v>3.5408928185060571E-6</v>
      </c>
      <c r="O84" s="122">
        <f t="shared" ca="1" si="14"/>
        <v>121701.91425930279</v>
      </c>
      <c r="P84" s="32">
        <f t="shared" ca="1" si="15"/>
        <v>55941012.784638032</v>
      </c>
      <c r="Q84" s="32">
        <f t="shared" ca="1" si="16"/>
        <v>10987754.510242671</v>
      </c>
      <c r="R84" s="16">
        <f t="shared" ca="1" si="5"/>
        <v>-1.8817260211056383E-3</v>
      </c>
    </row>
    <row r="85" spans="1:18">
      <c r="A85" s="71">
        <v>31341.5</v>
      </c>
      <c r="B85" s="71">
        <v>-3.6466755002038553E-2</v>
      </c>
      <c r="C85" s="71">
        <v>1</v>
      </c>
      <c r="D85" s="72">
        <f t="shared" si="6"/>
        <v>3.13415</v>
      </c>
      <c r="E85" s="72">
        <f t="shared" si="6"/>
        <v>-3.6466755002038553E-2</v>
      </c>
      <c r="F85" s="32">
        <f t="shared" si="7"/>
        <v>3.13415</v>
      </c>
      <c r="G85" s="32">
        <f t="shared" si="7"/>
        <v>-3.6466755002038553E-2</v>
      </c>
      <c r="H85" s="32">
        <f t="shared" si="8"/>
        <v>9.8228962225000007</v>
      </c>
      <c r="I85" s="32">
        <f t="shared" si="9"/>
        <v>30.786430195748377</v>
      </c>
      <c r="J85" s="32">
        <f t="shared" si="10"/>
        <v>96.489290198004781</v>
      </c>
      <c r="K85" s="32">
        <f t="shared" si="11"/>
        <v>-0.11429228018963913</v>
      </c>
      <c r="L85" s="32">
        <f t="shared" si="12"/>
        <v>-0.3582091499563575</v>
      </c>
      <c r="M85" s="32">
        <f t="shared" ref="M85:M91" ca="1" si="17">+E$4+E$5*D85+E$6*D85^2</f>
        <v>-4.0505105266021593E-2</v>
      </c>
      <c r="N85" s="32">
        <f t="shared" ca="1" si="13"/>
        <v>1.6308272854611887E-5</v>
      </c>
      <c r="O85" s="122">
        <f t="shared" ca="1" si="14"/>
        <v>517094.99383903411</v>
      </c>
      <c r="P85" s="32">
        <f t="shared" ca="1" si="15"/>
        <v>107965553.40638658</v>
      </c>
      <c r="Q85" s="32">
        <f t="shared" ca="1" si="16"/>
        <v>19164511.103373125</v>
      </c>
      <c r="R85" s="16">
        <f t="shared" ref="R85:R91" ca="1" si="18">+E85-M85</f>
        <v>4.0383502639830399E-3</v>
      </c>
    </row>
    <row r="86" spans="1:18">
      <c r="A86" s="71">
        <v>31442.5</v>
      </c>
      <c r="B86" s="71">
        <v>-3.8321724998240825E-2</v>
      </c>
      <c r="C86" s="71">
        <v>1</v>
      </c>
      <c r="D86" s="72">
        <f t="shared" ref="D86:E91" si="19">A86/A$18</f>
        <v>3.14425</v>
      </c>
      <c r="E86" s="72">
        <f t="shared" si="19"/>
        <v>-3.8321724998240825E-2</v>
      </c>
      <c r="F86" s="32">
        <f t="shared" ref="F86:G91" si="20">$C86*D86</f>
        <v>3.14425</v>
      </c>
      <c r="G86" s="32">
        <f t="shared" si="20"/>
        <v>-3.8321724998240825E-2</v>
      </c>
      <c r="H86" s="32">
        <f t="shared" ref="H86:H91" si="21">C86*D86*D86</f>
        <v>9.8863080624999995</v>
      </c>
      <c r="I86" s="32">
        <f t="shared" ref="I86:I91" si="22">C86*D86*D86*D86</f>
        <v>31.085024125515623</v>
      </c>
      <c r="J86" s="32">
        <f t="shared" ref="J86:J91" si="23">C86*D86*D86*D86*D86</f>
        <v>97.739087106652505</v>
      </c>
      <c r="K86" s="32">
        <f t="shared" ref="K86:K91" si="24">C86*E86*D86</f>
        <v>-0.12049308382571872</v>
      </c>
      <c r="L86" s="32">
        <f t="shared" ref="L86:L91" si="25">C86*E86*D86*D86</f>
        <v>-0.37886037881901607</v>
      </c>
      <c r="M86" s="32">
        <f t="shared" ca="1" si="17"/>
        <v>-4.0956235553134934E-2</v>
      </c>
      <c r="N86" s="32">
        <f t="shared" ref="N86:N91" ca="1" si="26">C86*(M86-E86)^2</f>
        <v>6.9406458638484688E-6</v>
      </c>
      <c r="O86" s="122">
        <f t="shared" ref="O86:O91" ca="1" si="27">(C86*O$1-O$2*F86+O$3*H86)^2</f>
        <v>576427.12249670725</v>
      </c>
      <c r="P86" s="32">
        <f t="shared" ref="P86:P91" ca="1" si="28">(-C86*O$2+O$4*F86-O$5*H86)^2</f>
        <v>114301976.27185193</v>
      </c>
      <c r="Q86" s="32">
        <f t="shared" ref="Q86:Q91" ca="1" si="29">+(C86*O$3-F86*O$5+H86*O$6)^2</f>
        <v>20134238.554948553</v>
      </c>
      <c r="R86" s="16">
        <f t="shared" ca="1" si="18"/>
        <v>2.6345105548941095E-3</v>
      </c>
    </row>
    <row r="87" spans="1:18">
      <c r="A87" s="71">
        <v>31482.5</v>
      </c>
      <c r="B87" s="71">
        <v>-3.7740524996479508E-2</v>
      </c>
      <c r="C87" s="71">
        <v>1</v>
      </c>
      <c r="D87" s="72">
        <f t="shared" si="19"/>
        <v>3.14825</v>
      </c>
      <c r="E87" s="72">
        <f t="shared" si="19"/>
        <v>-3.7740524996479508E-2</v>
      </c>
      <c r="F87" s="32">
        <f t="shared" si="20"/>
        <v>3.14825</v>
      </c>
      <c r="G87" s="32">
        <f t="shared" si="20"/>
        <v>-3.7740524996479508E-2</v>
      </c>
      <c r="H87" s="32">
        <f t="shared" si="21"/>
        <v>9.9114780625000005</v>
      </c>
      <c r="I87" s="32">
        <f t="shared" si="22"/>
        <v>31.203810810265626</v>
      </c>
      <c r="J87" s="32">
        <f t="shared" si="23"/>
        <v>98.237397383418752</v>
      </c>
      <c r="K87" s="32">
        <f t="shared" si="24"/>
        <v>-0.11881660782016661</v>
      </c>
      <c r="L87" s="32">
        <f t="shared" si="25"/>
        <v>-0.37406438556983951</v>
      </c>
      <c r="M87" s="32">
        <f t="shared" ca="1" si="17"/>
        <v>-4.1135499896892774E-2</v>
      </c>
      <c r="N87" s="32">
        <f t="shared" ca="1" si="26"/>
        <v>1.1525854574436071E-5</v>
      </c>
      <c r="O87" s="122">
        <f t="shared" ca="1" si="27"/>
        <v>601073.6862545989</v>
      </c>
      <c r="P87" s="32">
        <f t="shared" ca="1" si="28"/>
        <v>116873454.27518278</v>
      </c>
      <c r="Q87" s="32">
        <f t="shared" ca="1" si="29"/>
        <v>20526591.386722393</v>
      </c>
      <c r="R87" s="16">
        <f t="shared" ca="1" si="18"/>
        <v>3.3949749004132668E-3</v>
      </c>
    </row>
    <row r="88" spans="1:18">
      <c r="A88" s="71">
        <v>31482.5</v>
      </c>
      <c r="B88" s="71">
        <v>-3.7680524997995235E-2</v>
      </c>
      <c r="C88" s="71">
        <v>1</v>
      </c>
      <c r="D88" s="72">
        <f t="shared" si="19"/>
        <v>3.14825</v>
      </c>
      <c r="E88" s="72">
        <f t="shared" si="19"/>
        <v>-3.7680524997995235E-2</v>
      </c>
      <c r="F88" s="32">
        <f t="shared" si="20"/>
        <v>3.14825</v>
      </c>
      <c r="G88" s="32">
        <f t="shared" si="20"/>
        <v>-3.7680524997995235E-2</v>
      </c>
      <c r="H88" s="32">
        <f t="shared" si="21"/>
        <v>9.9114780625000005</v>
      </c>
      <c r="I88" s="32">
        <f t="shared" si="22"/>
        <v>31.203810810265626</v>
      </c>
      <c r="J88" s="32">
        <f t="shared" si="23"/>
        <v>98.237397383418752</v>
      </c>
      <c r="K88" s="32">
        <f t="shared" si="24"/>
        <v>-0.1186277128249385</v>
      </c>
      <c r="L88" s="32">
        <f t="shared" si="25"/>
        <v>-0.37346969690111265</v>
      </c>
      <c r="M88" s="32">
        <f t="shared" ca="1" si="17"/>
        <v>-4.1135499896892774E-2</v>
      </c>
      <c r="N88" s="32">
        <f t="shared" ca="1" si="26"/>
        <v>1.1936851552012061E-5</v>
      </c>
      <c r="O88" s="122">
        <f t="shared" ca="1" si="27"/>
        <v>601073.6862545989</v>
      </c>
      <c r="P88" s="32">
        <f t="shared" ca="1" si="28"/>
        <v>116873454.27518278</v>
      </c>
      <c r="Q88" s="32">
        <f t="shared" ca="1" si="29"/>
        <v>20526591.386722393</v>
      </c>
      <c r="R88" s="16">
        <f t="shared" ca="1" si="18"/>
        <v>3.4549748988975393E-3</v>
      </c>
    </row>
    <row r="89" spans="1:18">
      <c r="A89" s="71">
        <v>31482.5</v>
      </c>
      <c r="B89" s="71">
        <v>-3.749052499915706E-2</v>
      </c>
      <c r="C89" s="71">
        <v>1</v>
      </c>
      <c r="D89" s="72">
        <f t="shared" si="19"/>
        <v>3.14825</v>
      </c>
      <c r="E89" s="72">
        <f t="shared" si="19"/>
        <v>-3.749052499915706E-2</v>
      </c>
      <c r="F89" s="32">
        <f t="shared" si="20"/>
        <v>3.14825</v>
      </c>
      <c r="G89" s="32">
        <f t="shared" si="20"/>
        <v>-3.749052499915706E-2</v>
      </c>
      <c r="H89" s="32">
        <f t="shared" si="21"/>
        <v>9.9114780625000005</v>
      </c>
      <c r="I89" s="32">
        <f t="shared" si="22"/>
        <v>31.203810810265626</v>
      </c>
      <c r="J89" s="32">
        <f t="shared" si="23"/>
        <v>98.237397383418752</v>
      </c>
      <c r="K89" s="32">
        <f t="shared" si="24"/>
        <v>-0.11802954532859622</v>
      </c>
      <c r="L89" s="32">
        <f t="shared" si="25"/>
        <v>-0.37158651608075305</v>
      </c>
      <c r="M89" s="32">
        <f t="shared" ca="1" si="17"/>
        <v>-4.1135499896892774E-2</v>
      </c>
      <c r="N89" s="32">
        <f t="shared" ca="1" si="26"/>
        <v>1.3285842005123481E-5</v>
      </c>
      <c r="O89" s="122">
        <f t="shared" ca="1" si="27"/>
        <v>601073.6862545989</v>
      </c>
      <c r="P89" s="32">
        <f t="shared" ca="1" si="28"/>
        <v>116873454.27518278</v>
      </c>
      <c r="Q89" s="32">
        <f t="shared" ca="1" si="29"/>
        <v>20526591.386722393</v>
      </c>
      <c r="R89" s="16">
        <f t="shared" ca="1" si="18"/>
        <v>3.6449748977357144E-3</v>
      </c>
    </row>
    <row r="90" spans="1:18">
      <c r="A90" s="71">
        <v>31482.5</v>
      </c>
      <c r="B90" s="71">
        <v>-3.690052499587182E-2</v>
      </c>
      <c r="C90" s="71">
        <v>1</v>
      </c>
      <c r="D90" s="72">
        <f t="shared" si="19"/>
        <v>3.14825</v>
      </c>
      <c r="E90" s="72">
        <f t="shared" si="19"/>
        <v>-3.690052499587182E-2</v>
      </c>
      <c r="F90" s="32">
        <f t="shared" si="20"/>
        <v>3.14825</v>
      </c>
      <c r="G90" s="32">
        <f t="shared" si="20"/>
        <v>-3.690052499587182E-2</v>
      </c>
      <c r="H90" s="32">
        <f t="shared" si="21"/>
        <v>9.9114780625000005</v>
      </c>
      <c r="I90" s="32">
        <f t="shared" si="22"/>
        <v>31.203810810265626</v>
      </c>
      <c r="J90" s="32">
        <f t="shared" si="23"/>
        <v>98.237397383418752</v>
      </c>
      <c r="K90" s="32">
        <f t="shared" si="24"/>
        <v>-0.11617207781825345</v>
      </c>
      <c r="L90" s="32">
        <f t="shared" si="25"/>
        <v>-0.3657387439913164</v>
      </c>
      <c r="M90" s="32">
        <f t="shared" ca="1" si="17"/>
        <v>-4.1135499896892774E-2</v>
      </c>
      <c r="N90" s="32">
        <f t="shared" ca="1" si="26"/>
        <v>1.7935012412277444E-5</v>
      </c>
      <c r="O90" s="122">
        <f t="shared" ca="1" si="27"/>
        <v>601073.6862545989</v>
      </c>
      <c r="P90" s="32">
        <f t="shared" ca="1" si="28"/>
        <v>116873454.27518278</v>
      </c>
      <c r="Q90" s="32">
        <f t="shared" ca="1" si="29"/>
        <v>20526591.386722393</v>
      </c>
      <c r="R90" s="16">
        <f t="shared" ca="1" si="18"/>
        <v>4.2349749010209548E-3</v>
      </c>
    </row>
    <row r="91" spans="1:18">
      <c r="A91" s="71">
        <v>31556</v>
      </c>
      <c r="B91" s="71">
        <v>-3.9501320003182627E-2</v>
      </c>
      <c r="C91" s="71">
        <v>1</v>
      </c>
      <c r="D91" s="72">
        <f t="shared" si="19"/>
        <v>3.1556000000000002</v>
      </c>
      <c r="E91" s="72">
        <f t="shared" si="19"/>
        <v>-3.9501320003182627E-2</v>
      </c>
      <c r="F91" s="32">
        <f t="shared" si="20"/>
        <v>3.1556000000000002</v>
      </c>
      <c r="G91" s="32">
        <f t="shared" si="20"/>
        <v>-3.9501320003182627E-2</v>
      </c>
      <c r="H91" s="32">
        <f t="shared" si="21"/>
        <v>9.9578113600000009</v>
      </c>
      <c r="I91" s="32">
        <f t="shared" si="22"/>
        <v>31.422869527616005</v>
      </c>
      <c r="J91" s="32">
        <f t="shared" si="23"/>
        <v>99.158007081345076</v>
      </c>
      <c r="K91" s="32">
        <f t="shared" si="24"/>
        <v>-0.12465036540204311</v>
      </c>
      <c r="L91" s="32">
        <f t="shared" si="25"/>
        <v>-0.39334669306268727</v>
      </c>
      <c r="M91" s="32">
        <f t="shared" ca="1" si="17"/>
        <v>-4.1465783950534046E-2</v>
      </c>
      <c r="N91" s="32">
        <f t="shared" ca="1" si="26"/>
        <v>3.8591186004435197E-6</v>
      </c>
      <c r="O91" s="122">
        <f t="shared" ca="1" si="27"/>
        <v>648103.17444333818</v>
      </c>
      <c r="P91" s="32">
        <f t="shared" ca="1" si="28"/>
        <v>121691313.48316811</v>
      </c>
      <c r="Q91" s="32">
        <f t="shared" ca="1" si="29"/>
        <v>21259948.319019567</v>
      </c>
      <c r="R91" s="16">
        <f t="shared" ca="1" si="18"/>
        <v>1.9644639473514192E-3</v>
      </c>
    </row>
    <row r="92" spans="1:18">
      <c r="A92" s="71"/>
      <c r="B92" s="71"/>
      <c r="C92" s="71"/>
      <c r="D92" s="72"/>
      <c r="E92" s="72"/>
      <c r="F92" s="32"/>
      <c r="G92" s="32"/>
      <c r="H92" s="32"/>
      <c r="I92" s="32"/>
      <c r="J92" s="32"/>
      <c r="K92" s="32"/>
      <c r="L92" s="32"/>
      <c r="M92" s="32"/>
      <c r="N92" s="32"/>
      <c r="O92" s="122"/>
      <c r="P92" s="32"/>
      <c r="Q92" s="32"/>
    </row>
    <row r="93" spans="1:18">
      <c r="A93" s="71"/>
      <c r="B93" s="71"/>
      <c r="C93" s="71"/>
      <c r="D93" s="72"/>
      <c r="E93" s="72"/>
      <c r="F93" s="32"/>
      <c r="G93" s="32"/>
      <c r="H93" s="32"/>
      <c r="I93" s="32"/>
      <c r="J93" s="32"/>
      <c r="K93" s="32"/>
      <c r="L93" s="32"/>
      <c r="M93" s="32"/>
      <c r="N93" s="32"/>
      <c r="O93" s="122"/>
      <c r="P93" s="32"/>
      <c r="Q93" s="32"/>
    </row>
    <row r="94" spans="1:18">
      <c r="A94" s="71"/>
      <c r="B94" s="71"/>
      <c r="C94" s="71"/>
      <c r="D94" s="72"/>
      <c r="E94" s="72"/>
      <c r="F94" s="32"/>
      <c r="G94" s="32"/>
      <c r="H94" s="32"/>
      <c r="I94" s="32"/>
      <c r="J94" s="32"/>
      <c r="K94" s="32"/>
      <c r="L94" s="32"/>
      <c r="M94" s="32"/>
      <c r="N94" s="32"/>
      <c r="O94" s="122"/>
      <c r="P94" s="32"/>
      <c r="Q94" s="32"/>
    </row>
    <row r="95" spans="1:18">
      <c r="A95" s="71"/>
      <c r="B95" s="71"/>
      <c r="C95" s="71"/>
      <c r="D95" s="72"/>
      <c r="E95" s="72"/>
      <c r="F95" s="32"/>
      <c r="G95" s="32"/>
      <c r="H95" s="32"/>
      <c r="I95" s="32"/>
      <c r="J95" s="32"/>
      <c r="K95" s="32"/>
      <c r="L95" s="32"/>
      <c r="M95" s="32"/>
      <c r="N95" s="32"/>
      <c r="O95" s="122"/>
      <c r="P95" s="32"/>
      <c r="Q95" s="32"/>
    </row>
    <row r="96" spans="1:18">
      <c r="A96" s="71"/>
      <c r="B96" s="71"/>
      <c r="C96" s="71"/>
      <c r="D96" s="72"/>
      <c r="E96" s="72"/>
      <c r="F96" s="32"/>
      <c r="G96" s="32"/>
      <c r="H96" s="32"/>
      <c r="I96" s="32"/>
      <c r="J96" s="32"/>
      <c r="K96" s="32"/>
      <c r="L96" s="32"/>
      <c r="M96" s="32"/>
      <c r="N96" s="32"/>
      <c r="O96" s="122"/>
      <c r="P96" s="32"/>
      <c r="Q96" s="32"/>
    </row>
    <row r="97" spans="1:17">
      <c r="A97" s="71"/>
      <c r="B97" s="71"/>
      <c r="C97" s="71"/>
      <c r="D97" s="72"/>
      <c r="E97" s="72"/>
      <c r="F97" s="32"/>
      <c r="G97" s="32"/>
      <c r="H97" s="32"/>
      <c r="I97" s="32"/>
      <c r="J97" s="32"/>
      <c r="K97" s="32"/>
      <c r="L97" s="32"/>
      <c r="M97" s="32"/>
      <c r="N97" s="32"/>
      <c r="O97" s="122"/>
      <c r="P97" s="32"/>
      <c r="Q97" s="32"/>
    </row>
    <row r="98" spans="1:17">
      <c r="A98" s="71"/>
      <c r="B98" s="71"/>
      <c r="C98" s="71"/>
      <c r="D98" s="72"/>
      <c r="E98" s="72"/>
      <c r="F98" s="32"/>
      <c r="G98" s="32"/>
      <c r="H98" s="32"/>
      <c r="I98" s="32"/>
      <c r="J98" s="32"/>
      <c r="K98" s="32"/>
      <c r="L98" s="32"/>
      <c r="M98" s="32"/>
      <c r="N98" s="32"/>
      <c r="O98" s="122"/>
      <c r="P98" s="32"/>
      <c r="Q98" s="32"/>
    </row>
    <row r="99" spans="1:17">
      <c r="A99" s="71"/>
      <c r="B99" s="71"/>
      <c r="C99" s="71"/>
      <c r="D99" s="72"/>
      <c r="E99" s="72"/>
      <c r="F99" s="32"/>
      <c r="G99" s="32"/>
      <c r="H99" s="32"/>
      <c r="I99" s="32"/>
      <c r="J99" s="32"/>
      <c r="K99" s="32"/>
      <c r="L99" s="32"/>
      <c r="M99" s="32"/>
      <c r="N99" s="32"/>
      <c r="O99" s="122"/>
      <c r="P99" s="32"/>
      <c r="Q99" s="32"/>
    </row>
    <row r="100" spans="1:17">
      <c r="A100" s="71"/>
      <c r="B100" s="71"/>
      <c r="C100" s="71"/>
      <c r="D100" s="72"/>
      <c r="E100" s="72"/>
      <c r="F100" s="32"/>
      <c r="G100" s="32"/>
      <c r="H100" s="32"/>
      <c r="I100" s="32"/>
      <c r="J100" s="32"/>
      <c r="K100" s="32"/>
      <c r="L100" s="32"/>
      <c r="M100" s="32"/>
      <c r="N100" s="32"/>
      <c r="O100" s="122"/>
      <c r="P100" s="32"/>
      <c r="Q100" s="32"/>
    </row>
    <row r="101" spans="1:17">
      <c r="A101" s="71"/>
      <c r="B101" s="71"/>
      <c r="C101" s="71"/>
      <c r="D101" s="72"/>
      <c r="E101" s="72"/>
      <c r="F101" s="32"/>
      <c r="G101" s="32"/>
      <c r="H101" s="32"/>
      <c r="I101" s="32"/>
      <c r="J101" s="32"/>
      <c r="K101" s="32"/>
      <c r="L101" s="32"/>
      <c r="M101" s="32"/>
      <c r="N101" s="32"/>
      <c r="O101" s="122"/>
      <c r="P101" s="32"/>
      <c r="Q101" s="32"/>
    </row>
    <row r="102" spans="1:17">
      <c r="A102" s="71"/>
      <c r="B102" s="71"/>
      <c r="C102" s="71"/>
      <c r="D102" s="72"/>
      <c r="E102" s="72"/>
      <c r="F102" s="32"/>
      <c r="G102" s="32"/>
      <c r="H102" s="32"/>
      <c r="I102" s="32"/>
      <c r="J102" s="32"/>
      <c r="K102" s="32"/>
      <c r="L102" s="32"/>
      <c r="M102" s="32"/>
      <c r="N102" s="32"/>
      <c r="O102" s="122"/>
      <c r="P102" s="32"/>
      <c r="Q102" s="32"/>
    </row>
    <row r="103" spans="1:17">
      <c r="A103" s="71"/>
      <c r="B103" s="71"/>
      <c r="C103" s="71"/>
      <c r="D103" s="72"/>
      <c r="E103" s="72"/>
      <c r="F103" s="32"/>
      <c r="G103" s="32"/>
      <c r="H103" s="32"/>
      <c r="I103" s="32"/>
      <c r="J103" s="32"/>
      <c r="K103" s="32"/>
      <c r="L103" s="32"/>
      <c r="M103" s="32"/>
      <c r="N103" s="32"/>
      <c r="O103" s="122"/>
      <c r="P103" s="32"/>
      <c r="Q103" s="32"/>
    </row>
    <row r="104" spans="1:17">
      <c r="A104" s="71"/>
      <c r="B104" s="71"/>
      <c r="C104" s="71"/>
      <c r="D104" s="72"/>
      <c r="E104" s="72"/>
      <c r="F104" s="32"/>
      <c r="G104" s="32"/>
      <c r="H104" s="32"/>
      <c r="I104" s="32"/>
      <c r="J104" s="32"/>
      <c r="K104" s="32"/>
      <c r="L104" s="32"/>
      <c r="M104" s="32"/>
      <c r="N104" s="32"/>
      <c r="O104" s="122"/>
      <c r="P104" s="32"/>
      <c r="Q104" s="32"/>
    </row>
    <row r="105" spans="1:17">
      <c r="A105" s="71"/>
      <c r="B105" s="71"/>
      <c r="C105" s="71"/>
      <c r="D105" s="72"/>
      <c r="E105" s="72"/>
      <c r="F105" s="32"/>
      <c r="G105" s="32"/>
      <c r="H105" s="32"/>
      <c r="I105" s="32"/>
      <c r="J105" s="32"/>
      <c r="K105" s="32"/>
      <c r="L105" s="32"/>
      <c r="M105" s="32"/>
      <c r="N105" s="32"/>
      <c r="O105" s="122"/>
      <c r="P105" s="32"/>
      <c r="Q105" s="32"/>
    </row>
    <row r="106" spans="1:17">
      <c r="A106" s="71"/>
      <c r="B106" s="71"/>
      <c r="C106" s="71"/>
      <c r="D106" s="72"/>
      <c r="E106" s="72"/>
      <c r="F106" s="32"/>
      <c r="G106" s="32"/>
      <c r="H106" s="32"/>
      <c r="I106" s="32"/>
      <c r="J106" s="32"/>
      <c r="K106" s="32"/>
      <c r="L106" s="32"/>
      <c r="M106" s="32"/>
      <c r="N106" s="32"/>
      <c r="O106" s="122"/>
      <c r="P106" s="32"/>
      <c r="Q106" s="32"/>
    </row>
    <row r="107" spans="1:17">
      <c r="A107" s="71"/>
      <c r="B107" s="71"/>
      <c r="C107" s="71"/>
      <c r="D107" s="72"/>
      <c r="E107" s="72"/>
      <c r="F107" s="32"/>
      <c r="G107" s="32"/>
      <c r="H107" s="32"/>
      <c r="I107" s="32"/>
      <c r="J107" s="32"/>
      <c r="K107" s="32"/>
      <c r="L107" s="32"/>
      <c r="M107" s="32"/>
      <c r="N107" s="32"/>
      <c r="O107" s="122"/>
      <c r="P107" s="32"/>
      <c r="Q107" s="32"/>
    </row>
    <row r="108" spans="1:17">
      <c r="A108" s="71"/>
      <c r="B108" s="71"/>
      <c r="C108" s="71"/>
      <c r="D108" s="72"/>
      <c r="E108" s="72"/>
      <c r="F108" s="32"/>
      <c r="G108" s="32"/>
      <c r="H108" s="32"/>
      <c r="I108" s="32"/>
      <c r="J108" s="32"/>
      <c r="K108" s="32"/>
      <c r="L108" s="32"/>
      <c r="M108" s="32"/>
      <c r="N108" s="32"/>
      <c r="O108" s="122"/>
      <c r="P108" s="32"/>
      <c r="Q108" s="32"/>
    </row>
    <row r="109" spans="1:17">
      <c r="A109" s="71"/>
      <c r="B109" s="71"/>
      <c r="C109" s="71"/>
      <c r="D109" s="72"/>
      <c r="E109" s="72"/>
      <c r="F109" s="32"/>
      <c r="G109" s="32"/>
      <c r="H109" s="32"/>
      <c r="I109" s="32"/>
      <c r="J109" s="32"/>
      <c r="K109" s="32"/>
      <c r="L109" s="32"/>
      <c r="M109" s="32"/>
      <c r="N109" s="32"/>
      <c r="O109" s="122"/>
      <c r="P109" s="32"/>
      <c r="Q109" s="32"/>
    </row>
    <row r="110" spans="1:17">
      <c r="A110" s="71"/>
      <c r="B110" s="71"/>
      <c r="C110" s="71"/>
      <c r="D110" s="72"/>
      <c r="E110" s="72"/>
      <c r="F110" s="32"/>
      <c r="G110" s="32"/>
      <c r="H110" s="32"/>
      <c r="I110" s="32"/>
      <c r="J110" s="32"/>
      <c r="K110" s="32"/>
      <c r="L110" s="32"/>
      <c r="M110" s="32"/>
      <c r="N110" s="32"/>
      <c r="O110" s="122"/>
      <c r="P110" s="32"/>
      <c r="Q110" s="32"/>
    </row>
    <row r="111" spans="1:17">
      <c r="A111" s="71"/>
      <c r="B111" s="71"/>
      <c r="C111" s="71"/>
      <c r="D111" s="72"/>
      <c r="E111" s="72"/>
      <c r="F111" s="32"/>
      <c r="G111" s="32"/>
      <c r="H111" s="32"/>
      <c r="I111" s="32"/>
      <c r="J111" s="32"/>
      <c r="K111" s="32"/>
      <c r="L111" s="32"/>
      <c r="M111" s="32"/>
      <c r="N111" s="32"/>
      <c r="O111" s="122"/>
      <c r="P111" s="32"/>
      <c r="Q111" s="32"/>
    </row>
    <row r="112" spans="1:17">
      <c r="A112" s="71"/>
      <c r="B112" s="71"/>
      <c r="C112" s="71"/>
      <c r="D112" s="72"/>
      <c r="E112" s="72"/>
      <c r="F112" s="32"/>
      <c r="G112" s="32"/>
      <c r="H112" s="32"/>
      <c r="I112" s="32"/>
      <c r="J112" s="32"/>
      <c r="K112" s="32"/>
      <c r="L112" s="32"/>
      <c r="M112" s="32"/>
      <c r="N112" s="32"/>
      <c r="O112" s="122"/>
      <c r="P112" s="32"/>
      <c r="Q112" s="32"/>
    </row>
    <row r="113" spans="1:17">
      <c r="A113" s="71"/>
      <c r="B113" s="71"/>
      <c r="C113" s="71"/>
      <c r="D113" s="72"/>
      <c r="E113" s="72"/>
      <c r="F113" s="32"/>
      <c r="G113" s="32"/>
      <c r="H113" s="32"/>
      <c r="I113" s="32"/>
      <c r="J113" s="32"/>
      <c r="K113" s="32"/>
      <c r="L113" s="32"/>
      <c r="M113" s="32"/>
      <c r="N113" s="32"/>
      <c r="O113" s="122"/>
      <c r="P113" s="32"/>
      <c r="Q113" s="32"/>
    </row>
    <row r="114" spans="1:17">
      <c r="A114" s="71"/>
      <c r="B114" s="71"/>
      <c r="C114" s="71"/>
      <c r="D114" s="72"/>
      <c r="E114" s="72"/>
      <c r="F114" s="32"/>
      <c r="G114" s="32"/>
      <c r="H114" s="32"/>
      <c r="I114" s="32"/>
      <c r="J114" s="32"/>
      <c r="K114" s="32"/>
      <c r="L114" s="32"/>
      <c r="M114" s="32"/>
      <c r="N114" s="32"/>
      <c r="O114" s="122"/>
      <c r="P114" s="32"/>
      <c r="Q114" s="32"/>
    </row>
    <row r="115" spans="1:17">
      <c r="A115" s="71"/>
      <c r="B115" s="71"/>
      <c r="C115" s="71"/>
      <c r="D115" s="72"/>
      <c r="E115" s="72"/>
      <c r="F115" s="32"/>
      <c r="G115" s="32"/>
      <c r="H115" s="32"/>
      <c r="I115" s="32"/>
      <c r="J115" s="32"/>
      <c r="K115" s="32"/>
      <c r="L115" s="32"/>
      <c r="M115" s="32"/>
      <c r="N115" s="32"/>
      <c r="O115" s="122"/>
      <c r="P115" s="32"/>
      <c r="Q115" s="32"/>
    </row>
    <row r="116" spans="1:17">
      <c r="A116" s="71"/>
      <c r="B116" s="71"/>
      <c r="C116" s="71"/>
      <c r="D116" s="72"/>
      <c r="E116" s="72"/>
      <c r="F116" s="32"/>
      <c r="G116" s="32"/>
      <c r="H116" s="32"/>
      <c r="I116" s="32"/>
      <c r="J116" s="32"/>
      <c r="K116" s="32"/>
      <c r="L116" s="32"/>
      <c r="M116" s="32"/>
      <c r="N116" s="32"/>
      <c r="O116" s="122"/>
      <c r="P116" s="32"/>
      <c r="Q116" s="32"/>
    </row>
    <row r="117" spans="1:17">
      <c r="A117" s="71"/>
      <c r="B117" s="71"/>
      <c r="C117" s="71"/>
      <c r="D117" s="72"/>
      <c r="E117" s="72"/>
      <c r="F117" s="32"/>
      <c r="G117" s="32"/>
      <c r="H117" s="32"/>
      <c r="I117" s="32"/>
      <c r="J117" s="32"/>
      <c r="K117" s="32"/>
      <c r="L117" s="32"/>
      <c r="M117" s="32"/>
      <c r="N117" s="32"/>
      <c r="O117" s="122"/>
      <c r="P117" s="32"/>
      <c r="Q117" s="32"/>
    </row>
    <row r="118" spans="1:17">
      <c r="A118" s="71"/>
      <c r="B118" s="71"/>
      <c r="C118" s="71"/>
      <c r="D118" s="72"/>
      <c r="E118" s="72"/>
      <c r="F118" s="32"/>
      <c r="G118" s="32"/>
      <c r="H118" s="32"/>
      <c r="I118" s="32"/>
      <c r="J118" s="32"/>
      <c r="K118" s="32"/>
      <c r="L118" s="32"/>
      <c r="M118" s="32"/>
      <c r="N118" s="32"/>
      <c r="O118" s="122"/>
      <c r="P118" s="32"/>
      <c r="Q118" s="32"/>
    </row>
    <row r="119" spans="1:17">
      <c r="A119" s="71"/>
      <c r="B119" s="71"/>
      <c r="C119" s="71"/>
      <c r="D119" s="72"/>
      <c r="E119" s="72"/>
      <c r="F119" s="32"/>
      <c r="G119" s="32"/>
      <c r="H119" s="32"/>
      <c r="I119" s="32"/>
      <c r="J119" s="32"/>
      <c r="K119" s="32"/>
      <c r="L119" s="32"/>
      <c r="M119" s="32"/>
      <c r="N119" s="32"/>
      <c r="O119" s="122"/>
      <c r="P119" s="32"/>
      <c r="Q119" s="32"/>
    </row>
    <row r="120" spans="1:17">
      <c r="A120" s="71"/>
      <c r="B120" s="71"/>
      <c r="C120" s="71"/>
      <c r="D120" s="72"/>
      <c r="E120" s="72"/>
      <c r="F120" s="32"/>
      <c r="G120" s="32"/>
      <c r="H120" s="32"/>
      <c r="I120" s="32"/>
      <c r="J120" s="32"/>
      <c r="K120" s="32"/>
      <c r="L120" s="32"/>
      <c r="M120" s="32"/>
      <c r="N120" s="32"/>
      <c r="O120" s="122"/>
      <c r="P120" s="32"/>
      <c r="Q120" s="32"/>
    </row>
    <row r="121" spans="1:17">
      <c r="A121" s="71"/>
      <c r="B121" s="71"/>
      <c r="C121" s="71"/>
      <c r="D121" s="72"/>
      <c r="E121" s="72"/>
      <c r="F121" s="32"/>
      <c r="G121" s="32"/>
      <c r="H121" s="32"/>
      <c r="I121" s="32"/>
      <c r="J121" s="32"/>
      <c r="K121" s="32"/>
      <c r="L121" s="32"/>
      <c r="M121" s="32"/>
      <c r="N121" s="32"/>
      <c r="O121" s="122"/>
      <c r="P121" s="32"/>
      <c r="Q121" s="32"/>
    </row>
    <row r="122" spans="1:17">
      <c r="A122" s="71"/>
      <c r="B122" s="71"/>
      <c r="C122" s="71"/>
      <c r="D122" s="72"/>
      <c r="E122" s="72"/>
      <c r="F122" s="32"/>
      <c r="G122" s="32"/>
      <c r="H122" s="32"/>
      <c r="I122" s="32"/>
      <c r="J122" s="32"/>
      <c r="K122" s="32"/>
      <c r="L122" s="32"/>
      <c r="M122" s="32"/>
      <c r="N122" s="32"/>
      <c r="O122" s="122"/>
      <c r="P122" s="32"/>
      <c r="Q122" s="32"/>
    </row>
    <row r="123" spans="1:17">
      <c r="A123" s="71"/>
      <c r="B123" s="71"/>
      <c r="C123" s="71"/>
      <c r="D123" s="72"/>
      <c r="E123" s="72"/>
      <c r="F123" s="32"/>
      <c r="G123" s="32"/>
      <c r="H123" s="32"/>
      <c r="I123" s="32"/>
      <c r="J123" s="32"/>
      <c r="K123" s="32"/>
      <c r="L123" s="32"/>
      <c r="M123" s="32"/>
      <c r="N123" s="32"/>
      <c r="O123" s="122"/>
      <c r="P123" s="32"/>
      <c r="Q123" s="32"/>
    </row>
    <row r="124" spans="1:17">
      <c r="A124" s="71"/>
      <c r="B124" s="71"/>
      <c r="C124" s="71"/>
      <c r="D124" s="72"/>
      <c r="E124" s="72"/>
      <c r="F124" s="32"/>
      <c r="G124" s="32"/>
      <c r="H124" s="32"/>
      <c r="I124" s="32"/>
      <c r="J124" s="32"/>
      <c r="K124" s="32"/>
      <c r="L124" s="32"/>
      <c r="M124" s="32"/>
      <c r="N124" s="32"/>
      <c r="O124" s="122"/>
      <c r="P124" s="32"/>
      <c r="Q124" s="32"/>
    </row>
    <row r="125" spans="1:17">
      <c r="A125" s="71"/>
      <c r="B125" s="71"/>
      <c r="C125" s="71"/>
      <c r="D125" s="72"/>
      <c r="E125" s="72"/>
      <c r="F125" s="32"/>
      <c r="G125" s="32"/>
      <c r="H125" s="32"/>
      <c r="I125" s="32"/>
      <c r="J125" s="32"/>
      <c r="K125" s="32"/>
      <c r="L125" s="32"/>
      <c r="M125" s="32"/>
      <c r="N125" s="32"/>
      <c r="O125" s="122"/>
      <c r="P125" s="32"/>
      <c r="Q125" s="32"/>
    </row>
    <row r="126" spans="1:17">
      <c r="A126" s="71"/>
      <c r="B126" s="71"/>
      <c r="C126" s="71"/>
      <c r="D126" s="72"/>
      <c r="E126" s="72"/>
      <c r="F126" s="32"/>
      <c r="G126" s="32"/>
      <c r="H126" s="32"/>
      <c r="I126" s="32"/>
      <c r="J126" s="32"/>
      <c r="K126" s="32"/>
      <c r="L126" s="32"/>
      <c r="M126" s="32"/>
      <c r="N126" s="32"/>
      <c r="O126" s="122"/>
      <c r="P126" s="32"/>
      <c r="Q126" s="32"/>
    </row>
    <row r="127" spans="1:17">
      <c r="A127" s="71"/>
      <c r="B127" s="71"/>
      <c r="C127" s="71"/>
      <c r="D127" s="72"/>
      <c r="E127" s="72"/>
      <c r="F127" s="32"/>
      <c r="G127" s="32"/>
      <c r="H127" s="32"/>
      <c r="I127" s="32"/>
      <c r="J127" s="32"/>
      <c r="K127" s="32"/>
      <c r="L127" s="32"/>
      <c r="M127" s="32"/>
      <c r="N127" s="32"/>
      <c r="O127" s="122"/>
      <c r="P127" s="32"/>
      <c r="Q127" s="32"/>
    </row>
    <row r="128" spans="1:17">
      <c r="A128" s="71"/>
      <c r="B128" s="71"/>
      <c r="C128" s="71"/>
      <c r="D128" s="72"/>
      <c r="E128" s="72"/>
      <c r="F128" s="32"/>
      <c r="G128" s="32"/>
      <c r="H128" s="32"/>
      <c r="I128" s="32"/>
      <c r="J128" s="32"/>
      <c r="K128" s="32"/>
      <c r="L128" s="32"/>
      <c r="M128" s="32"/>
      <c r="N128" s="32"/>
      <c r="O128" s="122"/>
      <c r="P128" s="32"/>
      <c r="Q128" s="32"/>
    </row>
    <row r="129" spans="1:17">
      <c r="A129" s="71"/>
      <c r="B129" s="71"/>
      <c r="C129" s="71"/>
      <c r="D129" s="72"/>
      <c r="E129" s="72"/>
      <c r="F129" s="32"/>
      <c r="G129" s="32"/>
      <c r="H129" s="32"/>
      <c r="I129" s="32"/>
      <c r="J129" s="32"/>
      <c r="K129" s="32"/>
      <c r="L129" s="32"/>
      <c r="M129" s="32"/>
      <c r="N129" s="32"/>
      <c r="O129" s="122"/>
      <c r="P129" s="32"/>
      <c r="Q129" s="32"/>
    </row>
    <row r="130" spans="1:17">
      <c r="A130" s="71"/>
      <c r="B130" s="71"/>
      <c r="C130" s="71"/>
      <c r="D130" s="72"/>
      <c r="E130" s="72"/>
      <c r="F130" s="32"/>
      <c r="G130" s="32"/>
      <c r="H130" s="32"/>
      <c r="I130" s="32"/>
      <c r="J130" s="32"/>
      <c r="K130" s="32"/>
      <c r="L130" s="32"/>
      <c r="M130" s="32"/>
      <c r="N130" s="32"/>
      <c r="O130" s="122"/>
      <c r="P130" s="32"/>
      <c r="Q130" s="32"/>
    </row>
    <row r="131" spans="1:17">
      <c r="A131" s="71"/>
      <c r="B131" s="71"/>
      <c r="C131" s="71"/>
      <c r="D131" s="72"/>
      <c r="E131" s="72"/>
      <c r="F131" s="32"/>
      <c r="G131" s="32"/>
      <c r="H131" s="32"/>
      <c r="I131" s="32"/>
      <c r="J131" s="32"/>
      <c r="K131" s="32"/>
      <c r="L131" s="32"/>
      <c r="M131" s="32"/>
      <c r="N131" s="32"/>
      <c r="O131" s="122"/>
      <c r="P131" s="32"/>
      <c r="Q131" s="32"/>
    </row>
    <row r="132" spans="1:17">
      <c r="A132" s="71"/>
      <c r="B132" s="71"/>
      <c r="C132" s="71"/>
      <c r="D132" s="72"/>
      <c r="E132" s="72"/>
      <c r="F132" s="32"/>
      <c r="G132" s="32"/>
      <c r="H132" s="32"/>
      <c r="I132" s="32"/>
      <c r="J132" s="32"/>
      <c r="K132" s="32"/>
      <c r="L132" s="32"/>
      <c r="M132" s="32"/>
      <c r="N132" s="32"/>
      <c r="O132" s="122"/>
      <c r="P132" s="32"/>
      <c r="Q132" s="32"/>
    </row>
    <row r="133" spans="1:17">
      <c r="A133" s="71"/>
      <c r="B133" s="71"/>
      <c r="C133" s="71"/>
      <c r="D133" s="72"/>
      <c r="E133" s="72"/>
      <c r="F133" s="32"/>
      <c r="G133" s="32"/>
      <c r="H133" s="32"/>
      <c r="I133" s="32"/>
      <c r="J133" s="32"/>
      <c r="K133" s="32"/>
      <c r="L133" s="32"/>
      <c r="M133" s="32"/>
      <c r="N133" s="32"/>
      <c r="O133" s="122"/>
      <c r="P133" s="32"/>
      <c r="Q133" s="32"/>
    </row>
    <row r="134" spans="1:17">
      <c r="A134" s="71"/>
      <c r="B134" s="71"/>
      <c r="C134" s="71"/>
      <c r="D134" s="72"/>
      <c r="E134" s="72"/>
      <c r="F134" s="32"/>
      <c r="G134" s="32"/>
      <c r="H134" s="32"/>
      <c r="I134" s="32"/>
      <c r="J134" s="32"/>
      <c r="K134" s="32"/>
      <c r="L134" s="32"/>
      <c r="M134" s="32"/>
      <c r="N134" s="32"/>
      <c r="O134" s="122"/>
      <c r="P134" s="32"/>
      <c r="Q134" s="32"/>
    </row>
    <row r="135" spans="1:17">
      <c r="A135" s="71"/>
      <c r="B135" s="71"/>
      <c r="C135" s="71"/>
      <c r="D135" s="72"/>
      <c r="E135" s="72"/>
      <c r="F135" s="32"/>
      <c r="G135" s="32"/>
      <c r="H135" s="32"/>
      <c r="I135" s="32"/>
      <c r="J135" s="32"/>
      <c r="K135" s="32"/>
      <c r="L135" s="32"/>
      <c r="M135" s="32"/>
      <c r="N135" s="32"/>
      <c r="O135" s="122"/>
      <c r="P135" s="32"/>
      <c r="Q135" s="32"/>
    </row>
    <row r="136" spans="1:17">
      <c r="A136" s="71"/>
      <c r="B136" s="71"/>
      <c r="C136" s="71"/>
      <c r="D136" s="72"/>
      <c r="E136" s="72"/>
      <c r="F136" s="32"/>
      <c r="G136" s="32"/>
      <c r="H136" s="32"/>
      <c r="I136" s="32"/>
      <c r="J136" s="32"/>
      <c r="K136" s="32"/>
      <c r="L136" s="32"/>
      <c r="M136" s="32"/>
      <c r="N136" s="32"/>
      <c r="O136" s="122"/>
      <c r="P136" s="32"/>
      <c r="Q136" s="32"/>
    </row>
    <row r="137" spans="1:17">
      <c r="A137" s="71"/>
      <c r="B137" s="71"/>
      <c r="C137" s="71"/>
      <c r="D137" s="72"/>
      <c r="E137" s="72"/>
      <c r="F137" s="32"/>
      <c r="G137" s="32"/>
      <c r="H137" s="32"/>
      <c r="I137" s="32"/>
      <c r="J137" s="32"/>
      <c r="K137" s="32"/>
      <c r="L137" s="32"/>
      <c r="M137" s="32"/>
      <c r="N137" s="32"/>
      <c r="O137" s="122"/>
      <c r="P137" s="32"/>
      <c r="Q137" s="32"/>
    </row>
    <row r="138" spans="1:17">
      <c r="A138" s="71"/>
      <c r="B138" s="71"/>
      <c r="C138" s="71"/>
      <c r="D138" s="72"/>
      <c r="E138" s="72"/>
      <c r="F138" s="32"/>
      <c r="G138" s="32"/>
      <c r="H138" s="32"/>
      <c r="I138" s="32"/>
      <c r="J138" s="32"/>
      <c r="K138" s="32"/>
      <c r="L138" s="32"/>
      <c r="M138" s="32"/>
      <c r="N138" s="32"/>
      <c r="O138" s="122"/>
      <c r="P138" s="32"/>
      <c r="Q138" s="32"/>
    </row>
    <row r="139" spans="1:17">
      <c r="A139" s="71"/>
      <c r="B139" s="71"/>
      <c r="C139" s="71"/>
      <c r="D139" s="72"/>
      <c r="E139" s="72"/>
      <c r="F139" s="32"/>
      <c r="G139" s="32"/>
      <c r="H139" s="32"/>
      <c r="I139" s="32"/>
      <c r="J139" s="32"/>
      <c r="K139" s="32"/>
      <c r="L139" s="32"/>
      <c r="M139" s="32"/>
      <c r="N139" s="32"/>
      <c r="O139" s="122"/>
      <c r="P139" s="32"/>
      <c r="Q139" s="32"/>
    </row>
    <row r="140" spans="1:17">
      <c r="A140" s="71"/>
      <c r="B140" s="71"/>
      <c r="C140" s="71"/>
      <c r="D140" s="72"/>
      <c r="E140" s="72"/>
      <c r="F140" s="32"/>
      <c r="G140" s="32"/>
      <c r="H140" s="32"/>
      <c r="I140" s="32"/>
      <c r="J140" s="32"/>
      <c r="K140" s="32"/>
      <c r="L140" s="32"/>
      <c r="M140" s="32"/>
      <c r="N140" s="32"/>
      <c r="O140" s="122"/>
      <c r="P140" s="32"/>
      <c r="Q140" s="32"/>
    </row>
    <row r="141" spans="1:17">
      <c r="A141" s="71"/>
      <c r="B141" s="71"/>
      <c r="C141" s="71"/>
      <c r="D141" s="72"/>
      <c r="E141" s="72"/>
      <c r="F141" s="32"/>
      <c r="G141" s="32"/>
      <c r="H141" s="32"/>
      <c r="I141" s="32"/>
      <c r="J141" s="32"/>
      <c r="K141" s="32"/>
      <c r="L141" s="32"/>
      <c r="M141" s="32"/>
      <c r="N141" s="32"/>
      <c r="O141" s="122"/>
      <c r="P141" s="32"/>
      <c r="Q141" s="32"/>
    </row>
    <row r="142" spans="1:17">
      <c r="A142" s="71"/>
      <c r="B142" s="71"/>
      <c r="C142" s="71"/>
      <c r="D142" s="72"/>
      <c r="E142" s="72"/>
      <c r="F142" s="32"/>
      <c r="G142" s="32"/>
      <c r="H142" s="32"/>
      <c r="I142" s="32"/>
      <c r="J142" s="32"/>
      <c r="K142" s="32"/>
      <c r="L142" s="32"/>
      <c r="M142" s="32"/>
      <c r="N142" s="32"/>
      <c r="O142" s="122"/>
      <c r="P142" s="32"/>
      <c r="Q142" s="32"/>
    </row>
    <row r="143" spans="1:17">
      <c r="A143" s="71"/>
      <c r="B143" s="71"/>
      <c r="C143" s="71"/>
      <c r="D143" s="72"/>
      <c r="E143" s="72"/>
      <c r="F143" s="32"/>
      <c r="G143" s="32"/>
      <c r="H143" s="32"/>
      <c r="I143" s="32"/>
      <c r="J143" s="32"/>
      <c r="K143" s="32"/>
      <c r="L143" s="32"/>
      <c r="M143" s="32"/>
      <c r="N143" s="32"/>
      <c r="O143" s="122"/>
      <c r="P143" s="32"/>
      <c r="Q143" s="32"/>
    </row>
    <row r="144" spans="1:17">
      <c r="A144" s="71"/>
      <c r="B144" s="71"/>
      <c r="C144" s="71"/>
      <c r="D144" s="72"/>
      <c r="E144" s="72"/>
      <c r="F144" s="32"/>
      <c r="G144" s="32"/>
      <c r="H144" s="32"/>
      <c r="I144" s="32"/>
      <c r="J144" s="32"/>
      <c r="K144" s="32"/>
      <c r="L144" s="32"/>
      <c r="M144" s="32"/>
      <c r="N144" s="32"/>
      <c r="O144" s="122"/>
      <c r="P144" s="32"/>
      <c r="Q144" s="32"/>
    </row>
    <row r="145" spans="1:17">
      <c r="A145" s="71"/>
      <c r="B145" s="71"/>
      <c r="C145" s="71"/>
      <c r="D145" s="72"/>
      <c r="E145" s="72"/>
      <c r="F145" s="32"/>
      <c r="G145" s="32"/>
      <c r="H145" s="32"/>
      <c r="I145" s="32"/>
      <c r="J145" s="32"/>
      <c r="K145" s="32"/>
      <c r="L145" s="32"/>
      <c r="M145" s="32"/>
      <c r="N145" s="32"/>
      <c r="O145" s="122"/>
      <c r="P145" s="32"/>
      <c r="Q145" s="32"/>
    </row>
    <row r="146" spans="1:17">
      <c r="A146" s="71"/>
      <c r="B146" s="71"/>
      <c r="C146" s="71"/>
      <c r="D146" s="72"/>
      <c r="E146" s="72"/>
      <c r="F146" s="32"/>
      <c r="G146" s="32"/>
      <c r="H146" s="32"/>
      <c r="I146" s="32"/>
      <c r="J146" s="32"/>
      <c r="K146" s="32"/>
      <c r="L146" s="32"/>
      <c r="M146" s="32"/>
      <c r="N146" s="32"/>
      <c r="O146" s="122"/>
      <c r="P146" s="32"/>
      <c r="Q146" s="32"/>
    </row>
    <row r="147" spans="1:17">
      <c r="A147" s="71"/>
      <c r="B147" s="71"/>
      <c r="C147" s="71"/>
      <c r="D147" s="72"/>
      <c r="E147" s="72"/>
      <c r="F147" s="32"/>
      <c r="G147" s="32"/>
      <c r="H147" s="32"/>
      <c r="I147" s="32"/>
      <c r="J147" s="32"/>
      <c r="K147" s="32"/>
      <c r="L147" s="32"/>
      <c r="M147" s="32"/>
      <c r="N147" s="32"/>
      <c r="O147" s="122"/>
      <c r="P147" s="32"/>
      <c r="Q147" s="32"/>
    </row>
    <row r="148" spans="1:17">
      <c r="A148" s="71"/>
      <c r="B148" s="71"/>
      <c r="C148" s="71"/>
      <c r="D148" s="72"/>
      <c r="E148" s="72"/>
      <c r="F148" s="32"/>
      <c r="G148" s="32"/>
      <c r="H148" s="32"/>
      <c r="I148" s="32"/>
      <c r="J148" s="32"/>
      <c r="K148" s="32"/>
      <c r="L148" s="32"/>
      <c r="M148" s="32"/>
      <c r="N148" s="32"/>
      <c r="O148" s="122"/>
      <c r="P148" s="32"/>
      <c r="Q148" s="32"/>
    </row>
    <row r="149" spans="1:17">
      <c r="A149" s="71"/>
      <c r="B149" s="71"/>
      <c r="C149" s="71"/>
      <c r="D149" s="72"/>
      <c r="E149" s="72"/>
      <c r="F149" s="32"/>
      <c r="G149" s="32"/>
      <c r="H149" s="32"/>
      <c r="I149" s="32"/>
      <c r="J149" s="32"/>
      <c r="K149" s="32"/>
      <c r="L149" s="32"/>
      <c r="M149" s="32"/>
      <c r="N149" s="32"/>
      <c r="O149" s="122"/>
      <c r="P149" s="32"/>
      <c r="Q149" s="32"/>
    </row>
    <row r="150" spans="1:17">
      <c r="A150" s="71"/>
      <c r="B150" s="71"/>
      <c r="C150" s="71"/>
      <c r="D150" s="72"/>
      <c r="E150" s="72"/>
      <c r="F150" s="32"/>
      <c r="G150" s="32"/>
      <c r="H150" s="32"/>
      <c r="I150" s="32"/>
      <c r="J150" s="32"/>
      <c r="K150" s="32"/>
      <c r="L150" s="32"/>
      <c r="M150" s="32"/>
      <c r="N150" s="32"/>
      <c r="O150" s="122"/>
      <c r="P150" s="32"/>
      <c r="Q150" s="32"/>
    </row>
    <row r="151" spans="1:17">
      <c r="A151" s="71"/>
      <c r="B151" s="71"/>
      <c r="C151" s="71"/>
      <c r="D151" s="72"/>
      <c r="E151" s="72"/>
      <c r="F151" s="32"/>
      <c r="G151" s="32"/>
      <c r="H151" s="32"/>
      <c r="I151" s="32"/>
      <c r="J151" s="32"/>
      <c r="K151" s="32"/>
      <c r="L151" s="32"/>
      <c r="M151" s="32"/>
      <c r="N151" s="32"/>
      <c r="O151" s="122"/>
      <c r="P151" s="32"/>
      <c r="Q151" s="32"/>
    </row>
    <row r="152" spans="1:17">
      <c r="A152" s="71"/>
      <c r="B152" s="71"/>
      <c r="C152" s="71"/>
      <c r="D152" s="72"/>
      <c r="E152" s="72"/>
      <c r="F152" s="32"/>
      <c r="G152" s="32"/>
      <c r="H152" s="32"/>
      <c r="I152" s="32"/>
      <c r="J152" s="32"/>
      <c r="K152" s="32"/>
      <c r="L152" s="32"/>
      <c r="M152" s="32"/>
      <c r="N152" s="32"/>
      <c r="O152" s="122"/>
      <c r="P152" s="32"/>
      <c r="Q152" s="32"/>
    </row>
    <row r="153" spans="1:17">
      <c r="A153" s="71"/>
      <c r="B153" s="71"/>
      <c r="C153" s="71"/>
      <c r="D153" s="72"/>
      <c r="E153" s="72"/>
      <c r="F153" s="32"/>
      <c r="G153" s="32"/>
      <c r="H153" s="32"/>
      <c r="I153" s="32"/>
      <c r="J153" s="32"/>
      <c r="K153" s="32"/>
      <c r="L153" s="32"/>
      <c r="M153" s="32"/>
      <c r="N153" s="32"/>
      <c r="O153" s="122"/>
      <c r="P153" s="32"/>
      <c r="Q153" s="32"/>
    </row>
    <row r="154" spans="1:17">
      <c r="A154" s="71"/>
      <c r="B154" s="71"/>
      <c r="C154" s="71"/>
      <c r="D154" s="72"/>
      <c r="E154" s="72"/>
      <c r="F154" s="32"/>
      <c r="G154" s="32"/>
      <c r="H154" s="32"/>
      <c r="I154" s="32"/>
      <c r="J154" s="32"/>
      <c r="K154" s="32"/>
      <c r="L154" s="32"/>
      <c r="M154" s="32"/>
      <c r="N154" s="32"/>
      <c r="O154" s="122"/>
      <c r="P154" s="32"/>
      <c r="Q154" s="32"/>
    </row>
    <row r="155" spans="1:17">
      <c r="A155" s="71"/>
      <c r="B155" s="71"/>
      <c r="C155" s="71"/>
      <c r="D155" s="72"/>
      <c r="E155" s="72"/>
      <c r="F155" s="32"/>
      <c r="G155" s="32"/>
      <c r="H155" s="32"/>
      <c r="I155" s="32"/>
      <c r="J155" s="32"/>
      <c r="K155" s="32"/>
      <c r="L155" s="32"/>
      <c r="M155" s="32"/>
      <c r="N155" s="32"/>
      <c r="O155" s="122"/>
      <c r="P155" s="32"/>
      <c r="Q155" s="32"/>
    </row>
    <row r="156" spans="1:17">
      <c r="A156" s="71"/>
      <c r="B156" s="71"/>
      <c r="C156" s="71"/>
      <c r="D156" s="72"/>
      <c r="E156" s="72"/>
      <c r="F156" s="32"/>
      <c r="G156" s="32"/>
      <c r="H156" s="32"/>
      <c r="I156" s="32"/>
      <c r="J156" s="32"/>
      <c r="K156" s="32"/>
      <c r="L156" s="32"/>
      <c r="M156" s="32"/>
      <c r="N156" s="32"/>
      <c r="O156" s="122"/>
      <c r="P156" s="32"/>
      <c r="Q156" s="32"/>
    </row>
    <row r="157" spans="1:17">
      <c r="A157" s="71"/>
      <c r="B157" s="71"/>
      <c r="C157" s="71"/>
      <c r="D157" s="72"/>
      <c r="E157" s="72"/>
      <c r="F157" s="32"/>
      <c r="G157" s="32"/>
      <c r="H157" s="32"/>
      <c r="I157" s="32"/>
      <c r="J157" s="32"/>
      <c r="K157" s="32"/>
      <c r="L157" s="32"/>
      <c r="M157" s="32"/>
      <c r="N157" s="32"/>
      <c r="O157" s="122"/>
      <c r="P157" s="32"/>
      <c r="Q157" s="32"/>
    </row>
    <row r="158" spans="1:17">
      <c r="A158" s="71"/>
      <c r="B158" s="71"/>
      <c r="C158" s="71"/>
      <c r="D158" s="72"/>
      <c r="E158" s="72"/>
      <c r="F158" s="32"/>
      <c r="G158" s="32"/>
      <c r="H158" s="32"/>
      <c r="I158" s="32"/>
      <c r="J158" s="32"/>
      <c r="K158" s="32"/>
      <c r="L158" s="32"/>
      <c r="M158" s="32"/>
      <c r="N158" s="32"/>
      <c r="O158" s="122"/>
      <c r="P158" s="32"/>
      <c r="Q158" s="32"/>
    </row>
    <row r="159" spans="1:17">
      <c r="A159" s="71"/>
      <c r="B159" s="71"/>
      <c r="C159" s="71"/>
      <c r="D159" s="72"/>
      <c r="E159" s="72"/>
      <c r="F159" s="32"/>
      <c r="G159" s="32"/>
      <c r="H159" s="32"/>
      <c r="I159" s="32"/>
      <c r="J159" s="32"/>
      <c r="K159" s="32"/>
      <c r="L159" s="32"/>
      <c r="M159" s="32"/>
      <c r="N159" s="32"/>
      <c r="O159" s="122"/>
      <c r="P159" s="32"/>
      <c r="Q159" s="32"/>
    </row>
    <row r="160" spans="1:17">
      <c r="A160" s="71"/>
      <c r="B160" s="71"/>
      <c r="C160" s="71"/>
      <c r="D160" s="72"/>
      <c r="E160" s="72"/>
      <c r="F160" s="32"/>
      <c r="G160" s="32"/>
      <c r="H160" s="32"/>
      <c r="I160" s="32"/>
      <c r="J160" s="32"/>
      <c r="K160" s="32"/>
      <c r="L160" s="32"/>
      <c r="M160" s="32"/>
      <c r="N160" s="32"/>
      <c r="O160" s="122"/>
      <c r="P160" s="32"/>
      <c r="Q160" s="32"/>
    </row>
    <row r="161" spans="1:17">
      <c r="A161" s="71"/>
      <c r="B161" s="71"/>
      <c r="C161" s="71"/>
      <c r="D161" s="72"/>
      <c r="E161" s="72"/>
      <c r="F161" s="32"/>
      <c r="G161" s="32"/>
      <c r="H161" s="32"/>
      <c r="I161" s="32"/>
      <c r="J161" s="32"/>
      <c r="K161" s="32"/>
      <c r="L161" s="32"/>
      <c r="M161" s="32"/>
      <c r="N161" s="32"/>
      <c r="O161" s="122"/>
      <c r="P161" s="32"/>
      <c r="Q161" s="32"/>
    </row>
    <row r="162" spans="1:17">
      <c r="A162" s="71"/>
      <c r="B162" s="71"/>
      <c r="C162" s="71"/>
      <c r="D162" s="72"/>
      <c r="E162" s="72"/>
      <c r="F162" s="32"/>
      <c r="G162" s="32"/>
      <c r="H162" s="32"/>
      <c r="I162" s="32"/>
      <c r="J162" s="32"/>
      <c r="K162" s="32"/>
      <c r="L162" s="32"/>
      <c r="M162" s="32"/>
      <c r="N162" s="32"/>
      <c r="O162" s="122"/>
      <c r="P162" s="32"/>
      <c r="Q162" s="32"/>
    </row>
    <row r="163" spans="1:17">
      <c r="A163" s="71"/>
      <c r="B163" s="71"/>
      <c r="C163" s="71"/>
      <c r="D163" s="72"/>
      <c r="E163" s="72"/>
      <c r="F163" s="32"/>
      <c r="G163" s="32"/>
      <c r="H163" s="32"/>
      <c r="I163" s="32"/>
      <c r="J163" s="32"/>
      <c r="K163" s="32"/>
      <c r="L163" s="32"/>
      <c r="M163" s="32"/>
      <c r="N163" s="32"/>
      <c r="O163" s="122"/>
      <c r="P163" s="32"/>
      <c r="Q163" s="32"/>
    </row>
    <row r="164" spans="1:17">
      <c r="A164" s="71"/>
      <c r="B164" s="71"/>
      <c r="C164" s="71"/>
      <c r="D164" s="72"/>
      <c r="E164" s="72"/>
      <c r="F164" s="32"/>
      <c r="G164" s="32"/>
      <c r="H164" s="32"/>
      <c r="I164" s="32"/>
      <c r="J164" s="32"/>
      <c r="K164" s="32"/>
      <c r="L164" s="32"/>
      <c r="M164" s="32"/>
      <c r="N164" s="32"/>
      <c r="O164" s="122"/>
      <c r="P164" s="32"/>
      <c r="Q164" s="32"/>
    </row>
    <row r="165" spans="1:17">
      <c r="A165" s="71"/>
      <c r="B165" s="71"/>
      <c r="C165" s="71"/>
      <c r="D165" s="72"/>
      <c r="E165" s="72"/>
      <c r="F165" s="32"/>
      <c r="G165" s="32"/>
      <c r="H165" s="32"/>
      <c r="I165" s="32"/>
      <c r="J165" s="32"/>
      <c r="K165" s="32"/>
      <c r="L165" s="32"/>
      <c r="M165" s="32"/>
      <c r="N165" s="32"/>
      <c r="O165" s="122"/>
      <c r="P165" s="32"/>
      <c r="Q165" s="32"/>
    </row>
    <row r="166" spans="1:17">
      <c r="A166" s="71"/>
      <c r="B166" s="71"/>
      <c r="C166" s="71"/>
      <c r="D166" s="72"/>
      <c r="E166" s="72"/>
      <c r="F166" s="32"/>
      <c r="G166" s="32"/>
      <c r="H166" s="32"/>
      <c r="I166" s="32"/>
      <c r="J166" s="32"/>
      <c r="K166" s="32"/>
      <c r="L166" s="32"/>
      <c r="M166" s="32"/>
      <c r="N166" s="32"/>
      <c r="O166" s="122"/>
      <c r="P166" s="32"/>
      <c r="Q166" s="32"/>
    </row>
    <row r="167" spans="1:17">
      <c r="A167" s="71"/>
      <c r="B167" s="71"/>
      <c r="C167" s="71"/>
      <c r="D167" s="72"/>
      <c r="E167" s="72"/>
      <c r="F167" s="32"/>
      <c r="G167" s="32"/>
      <c r="H167" s="32"/>
      <c r="I167" s="32"/>
      <c r="J167" s="32"/>
      <c r="K167" s="32"/>
      <c r="L167" s="32"/>
      <c r="M167" s="32"/>
      <c r="N167" s="32"/>
      <c r="O167" s="122"/>
      <c r="P167" s="32"/>
      <c r="Q167" s="32"/>
    </row>
    <row r="168" spans="1:17">
      <c r="A168" s="71"/>
      <c r="B168" s="71"/>
      <c r="C168" s="71"/>
      <c r="D168" s="72"/>
      <c r="E168" s="72"/>
      <c r="F168" s="32"/>
      <c r="G168" s="32"/>
      <c r="H168" s="32"/>
      <c r="I168" s="32"/>
      <c r="J168" s="32"/>
      <c r="K168" s="32"/>
      <c r="L168" s="32"/>
      <c r="M168" s="32"/>
      <c r="N168" s="32"/>
      <c r="O168" s="122"/>
      <c r="P168" s="32"/>
      <c r="Q168" s="32"/>
    </row>
    <row r="169" spans="1:17">
      <c r="A169" s="71"/>
      <c r="B169" s="71"/>
      <c r="C169" s="71"/>
      <c r="D169" s="72"/>
      <c r="E169" s="72"/>
      <c r="F169" s="32"/>
      <c r="G169" s="32"/>
      <c r="H169" s="32"/>
      <c r="I169" s="32"/>
      <c r="J169" s="32"/>
      <c r="K169" s="32"/>
      <c r="L169" s="32"/>
      <c r="M169" s="32"/>
      <c r="N169" s="32"/>
      <c r="O169" s="122"/>
      <c r="P169" s="32"/>
      <c r="Q169" s="32"/>
    </row>
    <row r="170" spans="1:17">
      <c r="A170" s="71"/>
      <c r="B170" s="71"/>
      <c r="C170" s="71"/>
      <c r="D170" s="72"/>
      <c r="E170" s="72"/>
      <c r="F170" s="32"/>
      <c r="G170" s="32"/>
      <c r="H170" s="32"/>
      <c r="I170" s="32"/>
      <c r="J170" s="32"/>
      <c r="K170" s="32"/>
      <c r="L170" s="32"/>
      <c r="M170" s="32"/>
      <c r="N170" s="32"/>
      <c r="O170" s="122"/>
      <c r="P170" s="32"/>
      <c r="Q170" s="32"/>
    </row>
    <row r="171" spans="1:17">
      <c r="A171" s="71"/>
      <c r="B171" s="71"/>
      <c r="C171" s="71"/>
      <c r="D171" s="72"/>
      <c r="E171" s="72"/>
      <c r="F171" s="32"/>
      <c r="G171" s="32"/>
      <c r="H171" s="32"/>
      <c r="I171" s="32"/>
      <c r="J171" s="32"/>
      <c r="K171" s="32"/>
      <c r="L171" s="32"/>
      <c r="M171" s="32"/>
      <c r="N171" s="32"/>
      <c r="O171" s="122"/>
      <c r="P171" s="32"/>
      <c r="Q171" s="32"/>
    </row>
    <row r="172" spans="1:17">
      <c r="A172" s="71"/>
      <c r="B172" s="71"/>
      <c r="C172" s="71"/>
      <c r="D172" s="72"/>
      <c r="E172" s="72"/>
      <c r="F172" s="32"/>
      <c r="G172" s="32"/>
      <c r="H172" s="32"/>
      <c r="I172" s="32"/>
      <c r="J172" s="32"/>
      <c r="K172" s="32"/>
      <c r="L172" s="32"/>
      <c r="M172" s="32"/>
      <c r="N172" s="32"/>
      <c r="O172" s="122"/>
      <c r="P172" s="32"/>
      <c r="Q172" s="32"/>
    </row>
    <row r="173" spans="1:17">
      <c r="A173" s="71"/>
      <c r="B173" s="71"/>
      <c r="C173" s="71"/>
      <c r="D173" s="72"/>
      <c r="E173" s="72"/>
      <c r="F173" s="32"/>
      <c r="G173" s="32"/>
      <c r="H173" s="32"/>
      <c r="I173" s="32"/>
      <c r="J173" s="32"/>
      <c r="K173" s="32"/>
      <c r="L173" s="32"/>
      <c r="M173" s="32"/>
      <c r="N173" s="32"/>
      <c r="O173" s="122"/>
      <c r="P173" s="32"/>
      <c r="Q173" s="32"/>
    </row>
    <row r="174" spans="1:17">
      <c r="A174" s="71"/>
      <c r="B174" s="71"/>
      <c r="C174" s="71"/>
      <c r="D174" s="72"/>
      <c r="E174" s="72"/>
      <c r="F174" s="32"/>
      <c r="G174" s="32"/>
      <c r="H174" s="32"/>
      <c r="I174" s="32"/>
      <c r="J174" s="32"/>
      <c r="K174" s="32"/>
      <c r="L174" s="32"/>
      <c r="M174" s="32"/>
      <c r="N174" s="32"/>
      <c r="O174" s="122"/>
      <c r="P174" s="32"/>
      <c r="Q174" s="32"/>
    </row>
    <row r="175" spans="1:17">
      <c r="A175" s="71"/>
      <c r="B175" s="71"/>
      <c r="C175" s="71"/>
      <c r="D175" s="72"/>
      <c r="E175" s="72"/>
      <c r="F175" s="32"/>
      <c r="G175" s="32"/>
      <c r="H175" s="32"/>
      <c r="I175" s="32"/>
      <c r="J175" s="32"/>
      <c r="K175" s="32"/>
      <c r="L175" s="32"/>
      <c r="M175" s="32"/>
      <c r="N175" s="32"/>
      <c r="O175" s="122"/>
      <c r="P175" s="32"/>
      <c r="Q175" s="32"/>
    </row>
    <row r="176" spans="1:17">
      <c r="A176" s="71"/>
      <c r="B176" s="71"/>
      <c r="C176" s="71"/>
      <c r="D176" s="72"/>
      <c r="E176" s="72"/>
      <c r="F176" s="32"/>
      <c r="G176" s="32"/>
      <c r="H176" s="32"/>
      <c r="I176" s="32"/>
      <c r="J176" s="32"/>
      <c r="K176" s="32"/>
      <c r="L176" s="32"/>
      <c r="M176" s="32"/>
      <c r="N176" s="32"/>
      <c r="O176" s="122"/>
      <c r="P176" s="32"/>
      <c r="Q176" s="32"/>
    </row>
    <row r="177" spans="1:17">
      <c r="A177" s="71"/>
      <c r="B177" s="71"/>
      <c r="C177" s="71"/>
      <c r="D177" s="72"/>
      <c r="E177" s="72"/>
      <c r="F177" s="32"/>
      <c r="G177" s="32"/>
      <c r="H177" s="32"/>
      <c r="I177" s="32"/>
      <c r="J177" s="32"/>
      <c r="K177" s="32"/>
      <c r="L177" s="32"/>
      <c r="M177" s="32"/>
      <c r="N177" s="32"/>
      <c r="O177" s="122"/>
      <c r="P177" s="32"/>
      <c r="Q177" s="32"/>
    </row>
    <row r="178" spans="1:17">
      <c r="A178" s="71"/>
      <c r="B178" s="71"/>
      <c r="C178" s="71"/>
      <c r="D178" s="72"/>
      <c r="E178" s="72"/>
      <c r="F178" s="32"/>
      <c r="G178" s="32"/>
      <c r="H178" s="32"/>
      <c r="I178" s="32"/>
      <c r="J178" s="32"/>
      <c r="K178" s="32"/>
      <c r="L178" s="32"/>
      <c r="M178" s="32"/>
      <c r="N178" s="32"/>
      <c r="O178" s="122"/>
      <c r="P178" s="32"/>
      <c r="Q178" s="32"/>
    </row>
    <row r="179" spans="1:17">
      <c r="A179" s="71"/>
      <c r="B179" s="71"/>
      <c r="C179" s="71"/>
      <c r="D179" s="72"/>
      <c r="E179" s="72"/>
      <c r="F179" s="32"/>
      <c r="G179" s="32"/>
      <c r="H179" s="32"/>
      <c r="I179" s="32"/>
      <c r="J179" s="32"/>
      <c r="K179" s="32"/>
      <c r="L179" s="32"/>
      <c r="M179" s="32"/>
      <c r="N179" s="32"/>
      <c r="O179" s="122"/>
      <c r="P179" s="32"/>
      <c r="Q179" s="32"/>
    </row>
    <row r="180" spans="1:17">
      <c r="A180" s="71"/>
      <c r="B180" s="71"/>
      <c r="C180" s="71"/>
      <c r="D180" s="72"/>
      <c r="E180" s="72"/>
      <c r="F180" s="32"/>
      <c r="G180" s="32"/>
      <c r="H180" s="32"/>
      <c r="I180" s="32"/>
      <c r="J180" s="32"/>
      <c r="K180" s="32"/>
      <c r="L180" s="32"/>
      <c r="M180" s="32"/>
      <c r="N180" s="32"/>
      <c r="O180" s="122"/>
      <c r="P180" s="32"/>
      <c r="Q180" s="32"/>
    </row>
    <row r="181" spans="1:17">
      <c r="A181" s="71"/>
      <c r="B181" s="71"/>
      <c r="C181" s="71"/>
      <c r="D181" s="72"/>
      <c r="E181" s="72"/>
      <c r="F181" s="32"/>
      <c r="G181" s="32"/>
      <c r="H181" s="32"/>
      <c r="I181" s="32"/>
      <c r="J181" s="32"/>
      <c r="K181" s="32"/>
      <c r="L181" s="32"/>
      <c r="M181" s="32"/>
      <c r="N181" s="32"/>
      <c r="O181" s="122"/>
      <c r="P181" s="32"/>
      <c r="Q181" s="32"/>
    </row>
    <row r="182" spans="1:17">
      <c r="A182" s="71"/>
      <c r="B182" s="71"/>
      <c r="C182" s="71"/>
      <c r="D182" s="72"/>
      <c r="E182" s="72"/>
      <c r="F182" s="32"/>
      <c r="G182" s="32"/>
      <c r="H182" s="32"/>
      <c r="I182" s="32"/>
      <c r="J182" s="32"/>
      <c r="K182" s="32"/>
      <c r="L182" s="32"/>
      <c r="M182" s="32"/>
      <c r="N182" s="32"/>
      <c r="O182" s="122"/>
      <c r="P182" s="32"/>
      <c r="Q182" s="32"/>
    </row>
    <row r="183" spans="1:17">
      <c r="A183" s="71"/>
      <c r="B183" s="71"/>
      <c r="C183" s="71"/>
      <c r="D183" s="72"/>
      <c r="E183" s="72"/>
      <c r="F183" s="32"/>
      <c r="G183" s="32"/>
      <c r="H183" s="32"/>
      <c r="I183" s="32"/>
      <c r="J183" s="32"/>
      <c r="K183" s="32"/>
      <c r="L183" s="32"/>
      <c r="M183" s="32"/>
      <c r="N183" s="32"/>
      <c r="O183" s="122"/>
      <c r="P183" s="32"/>
      <c r="Q183" s="32"/>
    </row>
    <row r="184" spans="1:17">
      <c r="A184" s="71"/>
      <c r="B184" s="71"/>
      <c r="C184" s="71"/>
      <c r="D184" s="72"/>
      <c r="E184" s="72"/>
      <c r="F184" s="32"/>
      <c r="G184" s="32"/>
      <c r="H184" s="32"/>
      <c r="I184" s="32"/>
      <c r="J184" s="32"/>
      <c r="K184" s="32"/>
      <c r="L184" s="32"/>
      <c r="M184" s="32"/>
      <c r="N184" s="32"/>
      <c r="O184" s="122"/>
      <c r="P184" s="32"/>
      <c r="Q184" s="32"/>
    </row>
    <row r="185" spans="1:17">
      <c r="A185" s="71"/>
      <c r="B185" s="71"/>
      <c r="C185" s="71"/>
      <c r="D185" s="72"/>
      <c r="E185" s="72"/>
      <c r="F185" s="32"/>
      <c r="G185" s="32"/>
      <c r="H185" s="32"/>
      <c r="I185" s="32"/>
      <c r="J185" s="32"/>
      <c r="K185" s="32"/>
      <c r="L185" s="32"/>
      <c r="M185" s="32"/>
      <c r="N185" s="32"/>
      <c r="O185" s="122"/>
      <c r="P185" s="32"/>
      <c r="Q185" s="32"/>
    </row>
    <row r="186" spans="1:17">
      <c r="A186" s="71"/>
      <c r="B186" s="71"/>
      <c r="C186" s="71"/>
      <c r="D186" s="72"/>
      <c r="E186" s="72"/>
      <c r="F186" s="32"/>
      <c r="G186" s="32"/>
      <c r="H186" s="32"/>
      <c r="I186" s="32"/>
      <c r="J186" s="32"/>
      <c r="K186" s="32"/>
      <c r="L186" s="32"/>
      <c r="M186" s="32"/>
      <c r="N186" s="32"/>
      <c r="O186" s="122"/>
      <c r="P186" s="32"/>
      <c r="Q186" s="32"/>
    </row>
    <row r="187" spans="1:17">
      <c r="A187" s="71"/>
      <c r="B187" s="71"/>
      <c r="C187" s="71"/>
      <c r="D187" s="72"/>
      <c r="E187" s="72"/>
      <c r="F187" s="32"/>
      <c r="G187" s="32"/>
      <c r="H187" s="32"/>
      <c r="I187" s="32"/>
      <c r="J187" s="32"/>
      <c r="K187" s="32"/>
      <c r="L187" s="32"/>
      <c r="M187" s="32"/>
      <c r="N187" s="32"/>
      <c r="O187" s="122"/>
      <c r="P187" s="32"/>
      <c r="Q187" s="32"/>
    </row>
    <row r="188" spans="1:17">
      <c r="A188" s="71"/>
      <c r="B188" s="71"/>
      <c r="C188" s="71"/>
      <c r="D188" s="72"/>
      <c r="E188" s="72"/>
      <c r="F188" s="32"/>
      <c r="G188" s="32"/>
      <c r="H188" s="32"/>
      <c r="I188" s="32"/>
      <c r="J188" s="32"/>
      <c r="K188" s="32"/>
      <c r="L188" s="32"/>
      <c r="M188" s="32"/>
      <c r="N188" s="32"/>
      <c r="O188" s="122"/>
      <c r="P188" s="32"/>
      <c r="Q188" s="32"/>
    </row>
    <row r="189" spans="1:17">
      <c r="A189" s="71"/>
      <c r="B189" s="71"/>
      <c r="C189" s="71"/>
      <c r="D189" s="72"/>
      <c r="E189" s="72"/>
      <c r="F189" s="32"/>
      <c r="G189" s="32"/>
      <c r="H189" s="32"/>
      <c r="I189" s="32"/>
      <c r="J189" s="32"/>
      <c r="K189" s="32"/>
      <c r="L189" s="32"/>
      <c r="M189" s="32"/>
      <c r="N189" s="32"/>
      <c r="O189" s="122"/>
      <c r="P189" s="32"/>
      <c r="Q189" s="32"/>
    </row>
    <row r="190" spans="1:17">
      <c r="A190" s="71"/>
      <c r="B190" s="71"/>
      <c r="C190" s="71"/>
      <c r="D190" s="72"/>
      <c r="E190" s="72"/>
      <c r="F190" s="32"/>
      <c r="G190" s="32"/>
      <c r="H190" s="32"/>
      <c r="I190" s="32"/>
      <c r="J190" s="32"/>
      <c r="K190" s="32"/>
      <c r="L190" s="32"/>
      <c r="M190" s="32"/>
      <c r="N190" s="32"/>
      <c r="O190" s="122"/>
      <c r="P190" s="32"/>
      <c r="Q190" s="32"/>
    </row>
    <row r="191" spans="1:17">
      <c r="A191" s="71"/>
      <c r="B191" s="71"/>
      <c r="C191" s="71"/>
      <c r="D191" s="72"/>
      <c r="E191" s="72"/>
      <c r="F191" s="32"/>
      <c r="G191" s="32"/>
      <c r="H191" s="32"/>
      <c r="I191" s="32"/>
      <c r="J191" s="32"/>
      <c r="K191" s="32"/>
      <c r="L191" s="32"/>
      <c r="M191" s="32"/>
      <c r="N191" s="32"/>
      <c r="O191" s="122"/>
      <c r="P191" s="32"/>
      <c r="Q191" s="32"/>
    </row>
    <row r="192" spans="1:17">
      <c r="A192" s="71"/>
      <c r="B192" s="71"/>
      <c r="C192" s="71"/>
      <c r="D192" s="72"/>
      <c r="E192" s="72"/>
      <c r="F192" s="32"/>
      <c r="G192" s="32"/>
      <c r="H192" s="32"/>
      <c r="I192" s="32"/>
      <c r="J192" s="32"/>
      <c r="K192" s="32"/>
      <c r="L192" s="32"/>
      <c r="M192" s="32"/>
      <c r="N192" s="32"/>
      <c r="O192" s="122"/>
      <c r="P192" s="32"/>
      <c r="Q192" s="32"/>
    </row>
    <row r="193" spans="1:17">
      <c r="A193" s="71"/>
      <c r="B193" s="71"/>
      <c r="C193" s="71"/>
      <c r="D193" s="72"/>
      <c r="E193" s="72"/>
      <c r="F193" s="32"/>
      <c r="G193" s="32"/>
      <c r="H193" s="32"/>
      <c r="I193" s="32"/>
      <c r="J193" s="32"/>
      <c r="K193" s="32"/>
      <c r="L193" s="32"/>
      <c r="M193" s="32"/>
      <c r="N193" s="32"/>
      <c r="O193" s="122"/>
      <c r="P193" s="32"/>
      <c r="Q193" s="32"/>
    </row>
    <row r="194" spans="1:17">
      <c r="A194" s="71"/>
      <c r="B194" s="71"/>
      <c r="C194" s="71"/>
      <c r="D194" s="72"/>
      <c r="E194" s="72"/>
      <c r="F194" s="32"/>
      <c r="G194" s="32"/>
      <c r="H194" s="32"/>
      <c r="I194" s="32"/>
      <c r="J194" s="32"/>
      <c r="K194" s="32"/>
      <c r="L194" s="32"/>
      <c r="M194" s="32"/>
      <c r="N194" s="32"/>
      <c r="O194" s="122"/>
      <c r="P194" s="32"/>
      <c r="Q194" s="32"/>
    </row>
    <row r="195" spans="1:17">
      <c r="A195" s="71"/>
      <c r="B195" s="71"/>
      <c r="C195" s="71"/>
      <c r="D195" s="72"/>
      <c r="E195" s="72"/>
      <c r="F195" s="32"/>
      <c r="G195" s="32"/>
      <c r="H195" s="32"/>
      <c r="I195" s="32"/>
      <c r="J195" s="32"/>
      <c r="K195" s="32"/>
      <c r="L195" s="32"/>
      <c r="M195" s="32"/>
      <c r="N195" s="32"/>
      <c r="O195" s="122"/>
      <c r="P195" s="32"/>
      <c r="Q195" s="32"/>
    </row>
    <row r="196" spans="1:17">
      <c r="A196" s="71"/>
      <c r="B196" s="71"/>
      <c r="C196" s="71"/>
      <c r="D196" s="72"/>
      <c r="E196" s="72"/>
      <c r="F196" s="32"/>
      <c r="G196" s="32"/>
      <c r="H196" s="32"/>
      <c r="I196" s="32"/>
      <c r="J196" s="32"/>
      <c r="K196" s="32"/>
      <c r="L196" s="32"/>
      <c r="M196" s="32"/>
      <c r="N196" s="32"/>
      <c r="O196" s="122"/>
      <c r="P196" s="32"/>
      <c r="Q196" s="32"/>
    </row>
    <row r="197" spans="1:17">
      <c r="A197" s="71"/>
      <c r="B197" s="71"/>
      <c r="C197" s="71"/>
      <c r="D197" s="72"/>
      <c r="E197" s="72"/>
      <c r="F197" s="32"/>
      <c r="G197" s="32"/>
      <c r="H197" s="32"/>
      <c r="I197" s="32"/>
      <c r="J197" s="32"/>
      <c r="K197" s="32"/>
      <c r="L197" s="32"/>
      <c r="M197" s="32"/>
      <c r="N197" s="32"/>
      <c r="O197" s="122"/>
      <c r="P197" s="32"/>
      <c r="Q197" s="32"/>
    </row>
    <row r="198" spans="1:17">
      <c r="A198" s="71"/>
      <c r="B198" s="71"/>
      <c r="C198" s="71"/>
      <c r="D198" s="72"/>
      <c r="E198" s="72"/>
      <c r="F198" s="32"/>
      <c r="G198" s="32"/>
      <c r="H198" s="32"/>
      <c r="I198" s="32"/>
      <c r="J198" s="32"/>
      <c r="K198" s="32"/>
      <c r="L198" s="32"/>
      <c r="M198" s="32"/>
      <c r="N198" s="32"/>
      <c r="O198" s="122"/>
      <c r="P198" s="32"/>
      <c r="Q198" s="32"/>
    </row>
    <row r="199" spans="1:17">
      <c r="A199" s="71"/>
      <c r="B199" s="71"/>
      <c r="C199" s="71"/>
      <c r="D199" s="72"/>
      <c r="E199" s="72"/>
      <c r="F199" s="32"/>
      <c r="G199" s="32"/>
      <c r="H199" s="32"/>
      <c r="I199" s="32"/>
      <c r="J199" s="32"/>
      <c r="K199" s="32"/>
      <c r="L199" s="32"/>
      <c r="M199" s="32"/>
      <c r="N199" s="32"/>
      <c r="O199" s="122"/>
      <c r="P199" s="32"/>
      <c r="Q199" s="32"/>
    </row>
    <row r="200" spans="1:17">
      <c r="A200" s="71"/>
      <c r="B200" s="71"/>
      <c r="C200" s="71"/>
      <c r="D200" s="72"/>
      <c r="E200" s="72"/>
      <c r="F200" s="32"/>
      <c r="G200" s="32"/>
      <c r="H200" s="32"/>
      <c r="I200" s="32"/>
      <c r="J200" s="32"/>
      <c r="K200" s="32"/>
      <c r="L200" s="32"/>
      <c r="M200" s="32"/>
      <c r="N200" s="32"/>
      <c r="O200" s="122"/>
      <c r="P200" s="32"/>
      <c r="Q200" s="32"/>
    </row>
    <row r="201" spans="1:17">
      <c r="A201" s="71"/>
      <c r="B201" s="71"/>
      <c r="C201" s="71"/>
      <c r="D201" s="72"/>
      <c r="E201" s="72"/>
      <c r="F201" s="32"/>
      <c r="G201" s="32"/>
      <c r="H201" s="32"/>
      <c r="I201" s="32"/>
      <c r="J201" s="32"/>
      <c r="K201" s="32"/>
      <c r="L201" s="32"/>
      <c r="M201" s="32"/>
      <c r="N201" s="32"/>
      <c r="O201" s="122"/>
      <c r="P201" s="32"/>
      <c r="Q201" s="32"/>
    </row>
    <row r="202" spans="1:17">
      <c r="A202" s="71"/>
      <c r="B202" s="71"/>
      <c r="C202" s="71"/>
      <c r="D202" s="72"/>
      <c r="E202" s="72"/>
      <c r="F202" s="32"/>
      <c r="G202" s="32"/>
      <c r="H202" s="32"/>
      <c r="I202" s="32"/>
      <c r="J202" s="32"/>
      <c r="K202" s="32"/>
      <c r="L202" s="32"/>
      <c r="M202" s="32"/>
      <c r="N202" s="32"/>
      <c r="O202" s="122"/>
      <c r="P202" s="32"/>
      <c r="Q202" s="32"/>
    </row>
    <row r="203" spans="1:17">
      <c r="A203" s="71"/>
      <c r="B203" s="71"/>
      <c r="C203" s="71"/>
      <c r="D203" s="72"/>
      <c r="E203" s="72"/>
      <c r="F203" s="32"/>
      <c r="G203" s="32"/>
      <c r="H203" s="32"/>
      <c r="I203" s="32"/>
      <c r="J203" s="32"/>
      <c r="K203" s="32"/>
      <c r="L203" s="32"/>
      <c r="M203" s="32"/>
      <c r="N203" s="32"/>
      <c r="O203" s="122"/>
      <c r="P203" s="32"/>
      <c r="Q203" s="32"/>
    </row>
    <row r="204" spans="1:17">
      <c r="A204" s="71"/>
      <c r="B204" s="71"/>
      <c r="C204" s="71"/>
      <c r="D204" s="72"/>
      <c r="E204" s="72"/>
      <c r="F204" s="32"/>
      <c r="G204" s="32"/>
      <c r="H204" s="32"/>
      <c r="I204" s="32"/>
      <c r="J204" s="32"/>
      <c r="K204" s="32"/>
      <c r="L204" s="32"/>
      <c r="M204" s="32"/>
      <c r="N204" s="32"/>
      <c r="O204" s="122"/>
      <c r="P204" s="32"/>
      <c r="Q204" s="32"/>
    </row>
    <row r="205" spans="1:17">
      <c r="A205" s="71"/>
      <c r="B205" s="71"/>
      <c r="C205" s="71"/>
      <c r="D205" s="72"/>
      <c r="E205" s="72"/>
      <c r="F205" s="32"/>
      <c r="G205" s="32"/>
      <c r="H205" s="32"/>
      <c r="I205" s="32"/>
      <c r="J205" s="32"/>
      <c r="K205" s="32"/>
      <c r="L205" s="32"/>
      <c r="M205" s="32"/>
      <c r="N205" s="32"/>
      <c r="O205" s="122"/>
      <c r="P205" s="32"/>
      <c r="Q205" s="32"/>
    </row>
    <row r="206" spans="1:17">
      <c r="A206" s="71"/>
      <c r="B206" s="71"/>
      <c r="C206" s="71"/>
      <c r="D206" s="72"/>
      <c r="E206" s="72"/>
      <c r="F206" s="32"/>
      <c r="G206" s="32"/>
      <c r="H206" s="32"/>
      <c r="I206" s="32"/>
      <c r="J206" s="32"/>
      <c r="K206" s="32"/>
      <c r="L206" s="32"/>
      <c r="M206" s="32"/>
      <c r="N206" s="32"/>
      <c r="O206" s="122"/>
      <c r="P206" s="32"/>
      <c r="Q206" s="32"/>
    </row>
    <row r="207" spans="1:17">
      <c r="A207" s="71"/>
      <c r="B207" s="71"/>
      <c r="C207" s="71"/>
      <c r="D207" s="72"/>
      <c r="E207" s="72"/>
      <c r="F207" s="32"/>
      <c r="G207" s="32"/>
      <c r="H207" s="32"/>
      <c r="I207" s="32"/>
      <c r="J207" s="32"/>
      <c r="K207" s="32"/>
      <c r="L207" s="32"/>
      <c r="M207" s="32"/>
      <c r="N207" s="32"/>
      <c r="O207" s="122"/>
      <c r="P207" s="32"/>
      <c r="Q207" s="32"/>
    </row>
    <row r="208" spans="1:17">
      <c r="A208" s="71"/>
      <c r="B208" s="71"/>
      <c r="C208" s="71"/>
      <c r="D208" s="72"/>
      <c r="E208" s="72"/>
      <c r="F208" s="32"/>
      <c r="G208" s="32"/>
      <c r="H208" s="32"/>
      <c r="I208" s="32"/>
      <c r="J208" s="32"/>
      <c r="K208" s="32"/>
      <c r="L208" s="32"/>
      <c r="M208" s="32"/>
      <c r="N208" s="32"/>
      <c r="O208" s="122"/>
      <c r="P208" s="32"/>
      <c r="Q208" s="32"/>
    </row>
    <row r="209" spans="1:17">
      <c r="A209" s="71"/>
      <c r="B209" s="71"/>
      <c r="C209" s="71"/>
      <c r="D209" s="72"/>
      <c r="E209" s="72"/>
      <c r="F209" s="32"/>
      <c r="G209" s="32"/>
      <c r="H209" s="32"/>
      <c r="I209" s="32"/>
      <c r="J209" s="32"/>
      <c r="K209" s="32"/>
      <c r="L209" s="32"/>
      <c r="M209" s="32"/>
      <c r="N209" s="32"/>
      <c r="O209" s="122"/>
      <c r="P209" s="32"/>
      <c r="Q209" s="32"/>
    </row>
    <row r="210" spans="1:17">
      <c r="A210" s="71"/>
      <c r="B210" s="71"/>
      <c r="C210" s="71"/>
      <c r="D210" s="72"/>
      <c r="E210" s="72"/>
      <c r="F210" s="32"/>
      <c r="G210" s="32"/>
      <c r="H210" s="32"/>
      <c r="I210" s="32"/>
      <c r="J210" s="32"/>
      <c r="K210" s="32"/>
      <c r="L210" s="32"/>
      <c r="M210" s="32"/>
      <c r="N210" s="32"/>
      <c r="O210" s="122"/>
      <c r="P210" s="32"/>
      <c r="Q210" s="32"/>
    </row>
    <row r="211" spans="1:17">
      <c r="A211" s="71"/>
      <c r="B211" s="71"/>
      <c r="C211" s="71"/>
      <c r="D211" s="72"/>
      <c r="E211" s="72"/>
      <c r="F211" s="32"/>
      <c r="G211" s="32"/>
      <c r="H211" s="32"/>
      <c r="I211" s="32"/>
      <c r="J211" s="32"/>
      <c r="K211" s="32"/>
      <c r="L211" s="32"/>
      <c r="M211" s="32"/>
      <c r="N211" s="32"/>
      <c r="O211" s="122"/>
      <c r="P211" s="32"/>
      <c r="Q211" s="32"/>
    </row>
    <row r="212" spans="1:17">
      <c r="A212" s="71"/>
      <c r="B212" s="71"/>
      <c r="C212" s="71"/>
      <c r="D212" s="72"/>
      <c r="E212" s="72"/>
      <c r="F212" s="32"/>
      <c r="G212" s="32"/>
      <c r="H212" s="32"/>
      <c r="I212" s="32"/>
      <c r="J212" s="32"/>
      <c r="K212" s="32"/>
      <c r="L212" s="32"/>
      <c r="M212" s="32"/>
      <c r="N212" s="32"/>
      <c r="O212" s="122"/>
      <c r="P212" s="32"/>
      <c r="Q212" s="32"/>
    </row>
    <row r="213" spans="1:17">
      <c r="A213" s="71"/>
      <c r="B213" s="71"/>
      <c r="C213" s="71"/>
      <c r="D213" s="72"/>
      <c r="E213" s="72"/>
      <c r="F213" s="32"/>
      <c r="G213" s="32"/>
      <c r="H213" s="32"/>
      <c r="I213" s="32"/>
      <c r="J213" s="32"/>
      <c r="K213" s="32"/>
      <c r="L213" s="32"/>
      <c r="M213" s="32"/>
      <c r="N213" s="32"/>
      <c r="O213" s="122"/>
      <c r="P213" s="32"/>
      <c r="Q213" s="32"/>
    </row>
    <row r="214" spans="1:17">
      <c r="A214" s="71"/>
      <c r="B214" s="71"/>
      <c r="C214" s="71"/>
      <c r="D214" s="72"/>
      <c r="E214" s="72"/>
      <c r="F214" s="32"/>
      <c r="G214" s="32"/>
      <c r="H214" s="32"/>
      <c r="I214" s="32"/>
      <c r="J214" s="32"/>
      <c r="K214" s="32"/>
      <c r="L214" s="32"/>
      <c r="M214" s="32"/>
      <c r="N214" s="32"/>
      <c r="O214" s="122"/>
      <c r="P214" s="32"/>
      <c r="Q214" s="32"/>
    </row>
    <row r="215" spans="1:17">
      <c r="A215" s="71"/>
      <c r="B215" s="71"/>
      <c r="C215" s="71"/>
      <c r="D215" s="72"/>
      <c r="E215" s="72"/>
      <c r="F215" s="32"/>
      <c r="G215" s="32"/>
      <c r="H215" s="32"/>
      <c r="I215" s="32"/>
      <c r="J215" s="32"/>
      <c r="K215" s="32"/>
      <c r="L215" s="32"/>
      <c r="M215" s="32"/>
      <c r="N215" s="32"/>
      <c r="O215" s="122"/>
      <c r="P215" s="32"/>
      <c r="Q215" s="32"/>
    </row>
    <row r="216" spans="1:17">
      <c r="A216" s="71"/>
      <c r="B216" s="71"/>
      <c r="C216" s="71"/>
      <c r="D216" s="72"/>
      <c r="E216" s="72"/>
      <c r="F216" s="32"/>
      <c r="G216" s="32"/>
      <c r="H216" s="32"/>
      <c r="I216" s="32"/>
      <c r="J216" s="32"/>
      <c r="K216" s="32"/>
      <c r="L216" s="32"/>
      <c r="M216" s="32"/>
      <c r="N216" s="32"/>
      <c r="O216" s="122"/>
      <c r="P216" s="32"/>
      <c r="Q216" s="32"/>
    </row>
    <row r="217" spans="1:17">
      <c r="A217" s="71"/>
      <c r="B217" s="71"/>
      <c r="C217" s="71"/>
      <c r="D217" s="72"/>
      <c r="E217" s="72"/>
      <c r="F217" s="32"/>
      <c r="G217" s="32"/>
      <c r="H217" s="32"/>
      <c r="I217" s="32"/>
      <c r="J217" s="32"/>
      <c r="K217" s="32"/>
      <c r="L217" s="32"/>
      <c r="M217" s="32"/>
      <c r="N217" s="32"/>
      <c r="O217" s="122"/>
      <c r="P217" s="32"/>
      <c r="Q217" s="32"/>
    </row>
    <row r="218" spans="1:17">
      <c r="A218" s="71"/>
      <c r="B218" s="71"/>
      <c r="C218" s="71"/>
      <c r="D218" s="72"/>
      <c r="E218" s="72"/>
      <c r="F218" s="32"/>
      <c r="G218" s="32"/>
      <c r="H218" s="32"/>
      <c r="I218" s="32"/>
      <c r="J218" s="32"/>
      <c r="K218" s="32"/>
      <c r="L218" s="32"/>
      <c r="M218" s="32"/>
      <c r="N218" s="32"/>
      <c r="O218" s="122"/>
      <c r="P218" s="32"/>
      <c r="Q218" s="32"/>
    </row>
    <row r="219" spans="1:17">
      <c r="A219" s="71"/>
      <c r="B219" s="71"/>
      <c r="C219" s="71"/>
      <c r="D219" s="72"/>
      <c r="E219" s="72"/>
      <c r="F219" s="32"/>
      <c r="G219" s="32"/>
      <c r="H219" s="32"/>
      <c r="I219" s="32"/>
      <c r="J219" s="32"/>
      <c r="K219" s="32"/>
      <c r="L219" s="32"/>
      <c r="M219" s="32"/>
      <c r="N219" s="32"/>
      <c r="O219" s="122"/>
      <c r="P219" s="32"/>
      <c r="Q219" s="32"/>
    </row>
    <row r="220" spans="1:17">
      <c r="A220" s="71"/>
      <c r="B220" s="71"/>
      <c r="C220" s="71"/>
      <c r="D220" s="72"/>
      <c r="E220" s="72"/>
      <c r="F220" s="32"/>
      <c r="G220" s="32"/>
      <c r="H220" s="32"/>
      <c r="I220" s="32"/>
      <c r="J220" s="32"/>
      <c r="K220" s="32"/>
      <c r="L220" s="32"/>
      <c r="M220" s="32"/>
      <c r="N220" s="32"/>
      <c r="O220" s="122"/>
      <c r="P220" s="32"/>
      <c r="Q220" s="32"/>
    </row>
    <row r="221" spans="1:17">
      <c r="A221" s="71"/>
      <c r="B221" s="71"/>
      <c r="C221" s="71"/>
      <c r="D221" s="72"/>
      <c r="E221" s="72"/>
      <c r="F221" s="32"/>
      <c r="G221" s="32"/>
      <c r="H221" s="32"/>
      <c r="I221" s="32"/>
      <c r="J221" s="32"/>
      <c r="K221" s="32"/>
      <c r="L221" s="32"/>
      <c r="M221" s="32"/>
      <c r="N221" s="32"/>
      <c r="O221" s="122"/>
      <c r="P221" s="32"/>
      <c r="Q221" s="32"/>
    </row>
    <row r="222" spans="1:17">
      <c r="A222" s="71"/>
      <c r="B222" s="71"/>
      <c r="C222" s="71"/>
      <c r="D222" s="72"/>
      <c r="E222" s="72"/>
      <c r="F222" s="32"/>
      <c r="G222" s="32"/>
      <c r="H222" s="32"/>
      <c r="I222" s="32"/>
      <c r="J222" s="32"/>
      <c r="K222" s="32"/>
      <c r="L222" s="32"/>
      <c r="M222" s="32"/>
      <c r="N222" s="32"/>
      <c r="O222" s="122"/>
      <c r="P222" s="32"/>
      <c r="Q222" s="32"/>
    </row>
    <row r="223" spans="1:17">
      <c r="A223" s="71"/>
      <c r="B223" s="71"/>
      <c r="C223" s="71"/>
      <c r="D223" s="72"/>
      <c r="E223" s="72"/>
      <c r="F223" s="32"/>
      <c r="G223" s="32"/>
      <c r="H223" s="32"/>
      <c r="I223" s="32"/>
      <c r="J223" s="32"/>
      <c r="K223" s="32"/>
      <c r="L223" s="32"/>
      <c r="M223" s="32"/>
      <c r="N223" s="32"/>
      <c r="O223" s="122"/>
      <c r="P223" s="32"/>
      <c r="Q223" s="32"/>
    </row>
    <row r="224" spans="1:17">
      <c r="A224" s="71"/>
      <c r="B224" s="71"/>
      <c r="C224" s="71"/>
      <c r="D224" s="72"/>
      <c r="E224" s="72"/>
      <c r="F224" s="32"/>
      <c r="G224" s="32"/>
      <c r="H224" s="32"/>
      <c r="I224" s="32"/>
      <c r="J224" s="32"/>
      <c r="K224" s="32"/>
      <c r="L224" s="32"/>
      <c r="M224" s="32"/>
      <c r="N224" s="32"/>
      <c r="O224" s="122"/>
      <c r="P224" s="32"/>
      <c r="Q224" s="32"/>
    </row>
    <row r="225" spans="1:17">
      <c r="A225" s="71"/>
      <c r="B225" s="71"/>
      <c r="C225" s="71"/>
      <c r="D225" s="72"/>
      <c r="E225" s="72"/>
      <c r="F225" s="32"/>
      <c r="G225" s="32"/>
      <c r="H225" s="32"/>
      <c r="I225" s="32"/>
      <c r="J225" s="32"/>
      <c r="K225" s="32"/>
      <c r="L225" s="32"/>
      <c r="M225" s="32"/>
      <c r="N225" s="32"/>
      <c r="O225" s="122"/>
      <c r="P225" s="32"/>
      <c r="Q225" s="32"/>
    </row>
    <row r="226" spans="1:17">
      <c r="A226" s="71"/>
      <c r="B226" s="71"/>
      <c r="C226" s="71"/>
      <c r="D226" s="72"/>
      <c r="E226" s="72"/>
      <c r="F226" s="32"/>
      <c r="G226" s="32"/>
      <c r="H226" s="32"/>
      <c r="I226" s="32"/>
      <c r="J226" s="32"/>
      <c r="K226" s="32"/>
      <c r="L226" s="32"/>
      <c r="M226" s="32"/>
      <c r="N226" s="32"/>
      <c r="O226" s="122"/>
      <c r="P226" s="32"/>
      <c r="Q226" s="32"/>
    </row>
    <row r="227" spans="1:17">
      <c r="A227" s="71"/>
      <c r="B227" s="71"/>
      <c r="C227" s="71"/>
      <c r="D227" s="72"/>
      <c r="E227" s="72"/>
      <c r="F227" s="32"/>
      <c r="G227" s="32"/>
      <c r="H227" s="32"/>
      <c r="I227" s="32"/>
      <c r="J227" s="32"/>
      <c r="K227" s="32"/>
      <c r="L227" s="32"/>
      <c r="M227" s="32"/>
      <c r="N227" s="32"/>
      <c r="O227" s="122"/>
      <c r="P227" s="32"/>
      <c r="Q227" s="32"/>
    </row>
    <row r="228" spans="1:17">
      <c r="A228" s="71"/>
      <c r="B228" s="71"/>
      <c r="C228" s="71"/>
      <c r="D228" s="72"/>
      <c r="E228" s="72"/>
      <c r="F228" s="32"/>
      <c r="G228" s="32"/>
      <c r="H228" s="32"/>
      <c r="I228" s="32"/>
      <c r="J228" s="32"/>
      <c r="K228" s="32"/>
      <c r="L228" s="32"/>
      <c r="M228" s="32"/>
      <c r="N228" s="32"/>
      <c r="O228" s="122"/>
      <c r="P228" s="32"/>
      <c r="Q228" s="32"/>
    </row>
    <row r="229" spans="1:17">
      <c r="A229" s="71"/>
      <c r="B229" s="71"/>
      <c r="C229" s="71"/>
      <c r="D229" s="72"/>
      <c r="E229" s="72"/>
      <c r="F229" s="32"/>
      <c r="G229" s="32"/>
      <c r="H229" s="32"/>
      <c r="I229" s="32"/>
      <c r="J229" s="32"/>
      <c r="K229" s="32"/>
      <c r="L229" s="32"/>
      <c r="M229" s="32"/>
      <c r="N229" s="32"/>
      <c r="O229" s="122"/>
      <c r="P229" s="32"/>
      <c r="Q229" s="32"/>
    </row>
    <row r="230" spans="1:17">
      <c r="A230" s="71"/>
      <c r="B230" s="71"/>
      <c r="C230" s="71"/>
      <c r="D230" s="72"/>
      <c r="E230" s="72"/>
      <c r="F230" s="32"/>
      <c r="G230" s="32"/>
      <c r="H230" s="32"/>
      <c r="I230" s="32"/>
      <c r="J230" s="32"/>
      <c r="K230" s="32"/>
      <c r="L230" s="32"/>
      <c r="M230" s="32"/>
      <c r="N230" s="32"/>
      <c r="O230" s="122"/>
      <c r="P230" s="32"/>
      <c r="Q230" s="32"/>
    </row>
    <row r="231" spans="1:17">
      <c r="A231" s="71"/>
      <c r="B231" s="71"/>
      <c r="C231" s="71"/>
      <c r="D231" s="72"/>
      <c r="E231" s="72"/>
      <c r="F231" s="32"/>
      <c r="G231" s="32"/>
      <c r="H231" s="32"/>
      <c r="I231" s="32"/>
      <c r="J231" s="32"/>
      <c r="K231" s="32"/>
      <c r="L231" s="32"/>
      <c r="M231" s="32"/>
      <c r="N231" s="32"/>
      <c r="O231" s="122"/>
      <c r="P231" s="32"/>
      <c r="Q231" s="32"/>
    </row>
    <row r="232" spans="1:17">
      <c r="A232" s="71"/>
      <c r="B232" s="71"/>
      <c r="C232" s="71"/>
      <c r="D232" s="72"/>
      <c r="E232" s="72"/>
      <c r="F232" s="32"/>
      <c r="G232" s="32"/>
      <c r="H232" s="32"/>
      <c r="I232" s="32"/>
      <c r="J232" s="32"/>
      <c r="K232" s="32"/>
      <c r="L232" s="32"/>
      <c r="M232" s="32"/>
      <c r="N232" s="32"/>
      <c r="O232" s="122"/>
      <c r="P232" s="32"/>
      <c r="Q232" s="32"/>
    </row>
    <row r="233" spans="1:17">
      <c r="A233" s="71"/>
      <c r="B233" s="71"/>
      <c r="C233" s="71"/>
      <c r="D233" s="72"/>
      <c r="E233" s="72"/>
      <c r="F233" s="32"/>
      <c r="G233" s="32"/>
      <c r="H233" s="32"/>
      <c r="I233" s="32"/>
      <c r="J233" s="32"/>
      <c r="K233" s="32"/>
      <c r="L233" s="32"/>
      <c r="M233" s="32"/>
      <c r="N233" s="32"/>
      <c r="O233" s="122"/>
      <c r="P233" s="32"/>
      <c r="Q233" s="32"/>
    </row>
    <row r="234" spans="1:17">
      <c r="A234" s="71"/>
      <c r="B234" s="71"/>
      <c r="C234" s="71"/>
      <c r="D234" s="72"/>
      <c r="E234" s="72"/>
      <c r="F234" s="32"/>
      <c r="G234" s="32"/>
      <c r="H234" s="32"/>
      <c r="I234" s="32"/>
      <c r="J234" s="32"/>
      <c r="K234" s="32"/>
      <c r="L234" s="32"/>
      <c r="M234" s="32"/>
      <c r="N234" s="32"/>
      <c r="O234" s="122"/>
      <c r="P234" s="32"/>
      <c r="Q234" s="32"/>
    </row>
    <row r="235" spans="1:17">
      <c r="A235" s="71"/>
      <c r="B235" s="71"/>
      <c r="C235" s="71"/>
      <c r="D235" s="72"/>
      <c r="E235" s="72"/>
      <c r="F235" s="32"/>
      <c r="G235" s="32"/>
      <c r="H235" s="32"/>
      <c r="I235" s="32"/>
      <c r="J235" s="32"/>
      <c r="K235" s="32"/>
      <c r="L235" s="32"/>
      <c r="M235" s="32"/>
      <c r="N235" s="32"/>
      <c r="O235" s="122"/>
      <c r="P235" s="32"/>
      <c r="Q235" s="32"/>
    </row>
    <row r="236" spans="1:17">
      <c r="A236" s="71"/>
      <c r="B236" s="71"/>
      <c r="C236" s="71"/>
      <c r="D236" s="72"/>
      <c r="E236" s="72"/>
      <c r="F236" s="32"/>
      <c r="G236" s="32"/>
      <c r="H236" s="32"/>
      <c r="I236" s="32"/>
      <c r="J236" s="32"/>
      <c r="K236" s="32"/>
      <c r="L236" s="32"/>
      <c r="M236" s="32"/>
      <c r="N236" s="32"/>
      <c r="O236" s="122"/>
      <c r="P236" s="32"/>
      <c r="Q236" s="32"/>
    </row>
    <row r="237" spans="1:17">
      <c r="A237" s="71"/>
      <c r="B237" s="71"/>
      <c r="C237" s="71"/>
      <c r="D237" s="72"/>
      <c r="E237" s="72"/>
      <c r="F237" s="32"/>
      <c r="G237" s="32"/>
      <c r="H237" s="32"/>
      <c r="I237" s="32"/>
      <c r="J237" s="32"/>
      <c r="K237" s="32"/>
      <c r="L237" s="32"/>
      <c r="M237" s="32"/>
      <c r="N237" s="32"/>
      <c r="O237" s="122"/>
      <c r="P237" s="32"/>
      <c r="Q237" s="32"/>
    </row>
    <row r="238" spans="1:17">
      <c r="A238" s="71"/>
      <c r="B238" s="71"/>
      <c r="C238" s="71"/>
      <c r="D238" s="72"/>
      <c r="E238" s="72"/>
      <c r="F238" s="32"/>
      <c r="G238" s="32"/>
      <c r="H238" s="32"/>
      <c r="I238" s="32"/>
      <c r="J238" s="32"/>
      <c r="K238" s="32"/>
      <c r="L238" s="32"/>
      <c r="M238" s="32"/>
      <c r="N238" s="32"/>
      <c r="O238" s="122"/>
      <c r="P238" s="32"/>
      <c r="Q238" s="32"/>
    </row>
    <row r="239" spans="1:17">
      <c r="A239" s="71"/>
      <c r="B239" s="71"/>
      <c r="C239" s="71"/>
      <c r="D239" s="72"/>
      <c r="E239" s="72"/>
      <c r="F239" s="32"/>
      <c r="G239" s="32"/>
      <c r="H239" s="32"/>
      <c r="I239" s="32"/>
      <c r="J239" s="32"/>
      <c r="K239" s="32"/>
      <c r="L239" s="32"/>
      <c r="M239" s="32"/>
      <c r="N239" s="32"/>
      <c r="O239" s="122"/>
      <c r="P239" s="32"/>
      <c r="Q239" s="32"/>
    </row>
    <row r="240" spans="1:17">
      <c r="A240" s="71"/>
      <c r="B240" s="71"/>
      <c r="C240" s="71"/>
      <c r="D240" s="72"/>
      <c r="E240" s="72"/>
      <c r="F240" s="32"/>
      <c r="G240" s="32"/>
      <c r="H240" s="32"/>
      <c r="I240" s="32"/>
      <c r="J240" s="32"/>
      <c r="K240" s="32"/>
      <c r="L240" s="32"/>
      <c r="M240" s="32"/>
      <c r="N240" s="32"/>
      <c r="O240" s="122"/>
      <c r="P240" s="32"/>
      <c r="Q240" s="32"/>
    </row>
    <row r="241" spans="1:17">
      <c r="A241" s="71"/>
      <c r="B241" s="71"/>
      <c r="C241" s="71"/>
      <c r="D241" s="72"/>
      <c r="E241" s="72"/>
      <c r="F241" s="32"/>
      <c r="G241" s="32"/>
      <c r="H241" s="32"/>
      <c r="I241" s="32"/>
      <c r="J241" s="32"/>
      <c r="K241" s="32"/>
      <c r="L241" s="32"/>
      <c r="M241" s="32"/>
      <c r="N241" s="32"/>
      <c r="O241" s="122"/>
      <c r="P241" s="32"/>
      <c r="Q241" s="32"/>
    </row>
    <row r="242" spans="1:17">
      <c r="A242" s="71"/>
      <c r="B242" s="71"/>
      <c r="C242" s="71"/>
      <c r="D242" s="72"/>
      <c r="E242" s="72"/>
      <c r="F242" s="32"/>
      <c r="G242" s="32"/>
      <c r="H242" s="32"/>
      <c r="I242" s="32"/>
      <c r="J242" s="32"/>
      <c r="K242" s="32"/>
      <c r="L242" s="32"/>
      <c r="M242" s="32"/>
      <c r="N242" s="32"/>
      <c r="O242" s="122"/>
      <c r="P242" s="32"/>
      <c r="Q242" s="32"/>
    </row>
    <row r="243" spans="1:17">
      <c r="A243" s="71"/>
      <c r="B243" s="71"/>
      <c r="C243" s="71"/>
      <c r="D243" s="72"/>
      <c r="E243" s="72"/>
      <c r="F243" s="32"/>
      <c r="G243" s="32"/>
      <c r="H243" s="32"/>
      <c r="I243" s="32"/>
      <c r="J243" s="32"/>
      <c r="K243" s="32"/>
      <c r="L243" s="32"/>
      <c r="M243" s="32"/>
      <c r="N243" s="32"/>
      <c r="O243" s="122"/>
      <c r="P243" s="32"/>
      <c r="Q243" s="32"/>
    </row>
    <row r="244" spans="1:17">
      <c r="A244" s="71"/>
      <c r="B244" s="71"/>
      <c r="C244" s="71"/>
      <c r="D244" s="72"/>
      <c r="E244" s="72"/>
      <c r="F244" s="32"/>
      <c r="G244" s="32"/>
      <c r="H244" s="32"/>
      <c r="I244" s="32"/>
      <c r="J244" s="32"/>
      <c r="K244" s="32"/>
      <c r="L244" s="32"/>
      <c r="M244" s="32"/>
      <c r="N244" s="32"/>
      <c r="O244" s="122"/>
      <c r="P244" s="32"/>
      <c r="Q244" s="32"/>
    </row>
    <row r="245" spans="1:17">
      <c r="A245" s="71"/>
      <c r="B245" s="71"/>
      <c r="C245" s="71"/>
      <c r="D245" s="72"/>
      <c r="E245" s="72"/>
      <c r="F245" s="32"/>
      <c r="G245" s="32"/>
      <c r="H245" s="32"/>
      <c r="I245" s="32"/>
      <c r="J245" s="32"/>
      <c r="K245" s="32"/>
      <c r="L245" s="32"/>
      <c r="M245" s="32"/>
      <c r="N245" s="32"/>
      <c r="O245" s="122"/>
      <c r="P245" s="32"/>
      <c r="Q245" s="32"/>
    </row>
    <row r="246" spans="1:17">
      <c r="A246" s="71"/>
      <c r="B246" s="71"/>
      <c r="C246" s="71"/>
      <c r="D246" s="72"/>
      <c r="E246" s="72"/>
      <c r="F246" s="32"/>
      <c r="G246" s="32"/>
      <c r="H246" s="32"/>
      <c r="I246" s="32"/>
      <c r="J246" s="32"/>
      <c r="K246" s="32"/>
      <c r="L246" s="32"/>
      <c r="M246" s="32"/>
      <c r="N246" s="32"/>
      <c r="O246" s="122"/>
      <c r="P246" s="32"/>
      <c r="Q246" s="32"/>
    </row>
    <row r="247" spans="1:17">
      <c r="A247" s="71"/>
      <c r="B247" s="71"/>
      <c r="C247" s="71"/>
      <c r="D247" s="72"/>
      <c r="E247" s="72"/>
      <c r="F247" s="32"/>
      <c r="G247" s="32"/>
      <c r="H247" s="32"/>
      <c r="I247" s="32"/>
      <c r="J247" s="32"/>
      <c r="K247" s="32"/>
      <c r="L247" s="32"/>
      <c r="M247" s="32"/>
      <c r="N247" s="32"/>
      <c r="O247" s="122"/>
      <c r="P247" s="32"/>
      <c r="Q247" s="32"/>
    </row>
    <row r="248" spans="1:17">
      <c r="A248" s="71"/>
      <c r="B248" s="71"/>
      <c r="C248" s="71"/>
      <c r="D248" s="72"/>
      <c r="E248" s="72"/>
      <c r="F248" s="32"/>
      <c r="G248" s="32"/>
      <c r="H248" s="32"/>
      <c r="I248" s="32"/>
      <c r="J248" s="32"/>
      <c r="K248" s="32"/>
      <c r="L248" s="32"/>
      <c r="M248" s="32"/>
      <c r="N248" s="32"/>
      <c r="O248" s="122"/>
      <c r="P248" s="32"/>
      <c r="Q248" s="32"/>
    </row>
    <row r="249" spans="1:17">
      <c r="A249" s="71"/>
      <c r="B249" s="71"/>
      <c r="C249" s="71"/>
      <c r="D249" s="72"/>
      <c r="E249" s="72"/>
      <c r="F249" s="32"/>
      <c r="G249" s="32"/>
      <c r="H249" s="32"/>
      <c r="I249" s="32"/>
      <c r="J249" s="32"/>
      <c r="K249" s="32"/>
      <c r="L249" s="32"/>
      <c r="M249" s="32"/>
      <c r="N249" s="32"/>
      <c r="O249" s="122"/>
      <c r="P249" s="32"/>
      <c r="Q249" s="32"/>
    </row>
    <row r="250" spans="1:17">
      <c r="A250" s="71"/>
      <c r="B250" s="71"/>
      <c r="C250" s="71"/>
      <c r="D250" s="72"/>
      <c r="E250" s="72"/>
      <c r="F250" s="32"/>
      <c r="G250" s="32"/>
      <c r="H250" s="32"/>
      <c r="I250" s="32"/>
      <c r="J250" s="32"/>
      <c r="K250" s="32"/>
      <c r="L250" s="32"/>
      <c r="M250" s="32"/>
      <c r="N250" s="32"/>
      <c r="O250" s="122"/>
      <c r="P250" s="32"/>
      <c r="Q250" s="32"/>
    </row>
    <row r="251" spans="1:17">
      <c r="A251" s="71"/>
      <c r="B251" s="71"/>
      <c r="C251" s="71"/>
      <c r="D251" s="72"/>
      <c r="E251" s="72"/>
      <c r="F251" s="32"/>
      <c r="G251" s="32"/>
      <c r="H251" s="32"/>
      <c r="I251" s="32"/>
      <c r="J251" s="32"/>
      <c r="K251" s="32"/>
      <c r="L251" s="32"/>
      <c r="M251" s="32"/>
      <c r="N251" s="32"/>
      <c r="O251" s="122"/>
      <c r="P251" s="32"/>
      <c r="Q251" s="32"/>
    </row>
    <row r="252" spans="1:17">
      <c r="A252" s="71"/>
      <c r="B252" s="71"/>
      <c r="C252" s="71"/>
      <c r="D252" s="72"/>
      <c r="E252" s="72"/>
      <c r="F252" s="32"/>
      <c r="G252" s="32"/>
      <c r="H252" s="32"/>
      <c r="I252" s="32"/>
      <c r="J252" s="32"/>
      <c r="K252" s="32"/>
      <c r="L252" s="32"/>
      <c r="M252" s="32"/>
      <c r="N252" s="32"/>
      <c r="O252" s="122"/>
      <c r="P252" s="32"/>
      <c r="Q252" s="32"/>
    </row>
    <row r="253" spans="1:17">
      <c r="A253" s="71"/>
      <c r="B253" s="71"/>
      <c r="C253" s="71"/>
      <c r="D253" s="72"/>
      <c r="E253" s="72"/>
      <c r="F253" s="32"/>
      <c r="G253" s="32"/>
      <c r="H253" s="32"/>
      <c r="I253" s="32"/>
      <c r="J253" s="32"/>
      <c r="K253" s="32"/>
      <c r="L253" s="32"/>
      <c r="M253" s="32"/>
      <c r="N253" s="32"/>
      <c r="O253" s="122"/>
      <c r="P253" s="32"/>
      <c r="Q253" s="32"/>
    </row>
    <row r="254" spans="1:17">
      <c r="A254" s="71"/>
      <c r="B254" s="71"/>
      <c r="C254" s="71"/>
      <c r="D254" s="72"/>
      <c r="E254" s="72"/>
      <c r="F254" s="32"/>
      <c r="G254" s="32"/>
      <c r="H254" s="32"/>
      <c r="I254" s="32"/>
      <c r="J254" s="32"/>
      <c r="K254" s="32"/>
      <c r="L254" s="32"/>
      <c r="M254" s="32"/>
      <c r="N254" s="32"/>
      <c r="O254" s="122"/>
      <c r="P254" s="32"/>
      <c r="Q254" s="32"/>
    </row>
    <row r="255" spans="1:17">
      <c r="A255" s="71"/>
      <c r="B255" s="71"/>
      <c r="C255" s="71"/>
      <c r="D255" s="72"/>
      <c r="E255" s="72"/>
      <c r="F255" s="32"/>
      <c r="G255" s="32"/>
      <c r="H255" s="32"/>
      <c r="I255" s="32"/>
      <c r="J255" s="32"/>
      <c r="K255" s="32"/>
      <c r="L255" s="32"/>
      <c r="M255" s="32"/>
      <c r="N255" s="32"/>
      <c r="O255" s="122"/>
      <c r="P255" s="32"/>
      <c r="Q255" s="32"/>
    </row>
    <row r="256" spans="1:17">
      <c r="A256" s="71"/>
      <c r="B256" s="71"/>
      <c r="C256" s="71"/>
      <c r="D256" s="72"/>
      <c r="E256" s="72"/>
      <c r="F256" s="32"/>
      <c r="G256" s="32"/>
      <c r="H256" s="32"/>
      <c r="I256" s="32"/>
      <c r="J256" s="32"/>
      <c r="K256" s="32"/>
      <c r="L256" s="32"/>
      <c r="M256" s="32"/>
      <c r="N256" s="32"/>
      <c r="O256" s="122"/>
      <c r="P256" s="32"/>
      <c r="Q256" s="32"/>
    </row>
    <row r="257" spans="1:17">
      <c r="A257" s="71"/>
      <c r="B257" s="71"/>
      <c r="C257" s="71"/>
      <c r="D257" s="72"/>
      <c r="E257" s="72"/>
      <c r="F257" s="32"/>
      <c r="G257" s="32"/>
      <c r="H257" s="32"/>
      <c r="I257" s="32"/>
      <c r="J257" s="32"/>
      <c r="K257" s="32"/>
      <c r="L257" s="32"/>
      <c r="M257" s="32"/>
      <c r="N257" s="32"/>
      <c r="O257" s="122"/>
      <c r="P257" s="32"/>
      <c r="Q257" s="32"/>
    </row>
    <row r="258" spans="1:17">
      <c r="A258" s="71"/>
      <c r="B258" s="71"/>
      <c r="C258" s="71"/>
      <c r="D258" s="72"/>
      <c r="E258" s="72"/>
      <c r="F258" s="32"/>
      <c r="G258" s="32"/>
      <c r="H258" s="32"/>
      <c r="I258" s="32"/>
      <c r="J258" s="32"/>
      <c r="K258" s="32"/>
      <c r="L258" s="32"/>
      <c r="M258" s="32"/>
      <c r="N258" s="32"/>
      <c r="O258" s="122"/>
      <c r="P258" s="32"/>
      <c r="Q258" s="32"/>
    </row>
    <row r="259" spans="1:17">
      <c r="A259" s="71"/>
      <c r="B259" s="71"/>
      <c r="C259" s="71"/>
      <c r="D259" s="72"/>
      <c r="E259" s="72"/>
      <c r="F259" s="32"/>
      <c r="G259" s="32"/>
      <c r="H259" s="32"/>
      <c r="I259" s="32"/>
      <c r="J259" s="32"/>
      <c r="K259" s="32"/>
      <c r="L259" s="32"/>
      <c r="M259" s="32"/>
      <c r="N259" s="32"/>
      <c r="O259" s="122"/>
      <c r="P259" s="32"/>
      <c r="Q259" s="32"/>
    </row>
    <row r="260" spans="1:17">
      <c r="A260" s="71"/>
      <c r="B260" s="71"/>
      <c r="C260" s="71"/>
      <c r="D260" s="72"/>
      <c r="E260" s="72"/>
      <c r="F260" s="32"/>
      <c r="G260" s="32"/>
      <c r="H260" s="32"/>
      <c r="I260" s="32"/>
      <c r="J260" s="32"/>
      <c r="K260" s="32"/>
      <c r="L260" s="32"/>
      <c r="M260" s="32"/>
      <c r="N260" s="32"/>
      <c r="O260" s="122"/>
      <c r="P260" s="32"/>
      <c r="Q260" s="32"/>
    </row>
    <row r="261" spans="1:17">
      <c r="A261" s="71"/>
      <c r="B261" s="71"/>
      <c r="C261" s="71"/>
      <c r="D261" s="72"/>
      <c r="E261" s="72"/>
      <c r="F261" s="32"/>
      <c r="G261" s="32"/>
      <c r="H261" s="32"/>
      <c r="I261" s="32"/>
      <c r="J261" s="32"/>
      <c r="K261" s="32"/>
      <c r="L261" s="32"/>
      <c r="M261" s="32"/>
      <c r="N261" s="32"/>
      <c r="O261" s="122"/>
      <c r="P261" s="32"/>
      <c r="Q261" s="32"/>
    </row>
    <row r="262" spans="1:17">
      <c r="A262" s="71"/>
      <c r="B262" s="71"/>
      <c r="C262" s="71"/>
      <c r="D262" s="72"/>
      <c r="E262" s="72"/>
      <c r="F262" s="32"/>
      <c r="G262" s="32"/>
      <c r="H262" s="32"/>
      <c r="I262" s="32"/>
      <c r="J262" s="32"/>
      <c r="K262" s="32"/>
      <c r="L262" s="32"/>
      <c r="M262" s="32"/>
      <c r="N262" s="32"/>
      <c r="O262" s="122"/>
      <c r="P262" s="32"/>
      <c r="Q262" s="32"/>
    </row>
    <row r="263" spans="1:17">
      <c r="A263" s="71"/>
      <c r="B263" s="71"/>
      <c r="C263" s="71"/>
      <c r="D263" s="72"/>
      <c r="E263" s="72"/>
      <c r="F263" s="32"/>
      <c r="G263" s="32"/>
      <c r="H263" s="32"/>
      <c r="I263" s="32"/>
      <c r="J263" s="32"/>
      <c r="K263" s="32"/>
      <c r="L263" s="32"/>
      <c r="M263" s="32"/>
      <c r="N263" s="32"/>
      <c r="O263" s="122"/>
      <c r="P263" s="32"/>
      <c r="Q263" s="32"/>
    </row>
    <row r="264" spans="1:17">
      <c r="A264" s="71"/>
      <c r="B264" s="71"/>
      <c r="C264" s="71"/>
      <c r="D264" s="72"/>
      <c r="E264" s="72"/>
      <c r="F264" s="32"/>
      <c r="G264" s="32"/>
      <c r="H264" s="32"/>
      <c r="I264" s="32"/>
      <c r="J264" s="32"/>
      <c r="K264" s="32"/>
      <c r="L264" s="32"/>
      <c r="M264" s="32"/>
      <c r="N264" s="32"/>
      <c r="O264" s="122"/>
      <c r="P264" s="32"/>
      <c r="Q264" s="32"/>
    </row>
    <row r="265" spans="1:17">
      <c r="A265" s="71"/>
      <c r="B265" s="71"/>
      <c r="C265" s="71"/>
      <c r="D265" s="72"/>
      <c r="E265" s="72"/>
      <c r="F265" s="32"/>
      <c r="G265" s="32"/>
      <c r="H265" s="32"/>
      <c r="I265" s="32"/>
      <c r="J265" s="32"/>
      <c r="K265" s="32"/>
      <c r="L265" s="32"/>
      <c r="M265" s="32"/>
      <c r="N265" s="32"/>
      <c r="O265" s="122"/>
      <c r="P265" s="32"/>
      <c r="Q265" s="32"/>
    </row>
    <row r="266" spans="1:17">
      <c r="A266" s="71"/>
      <c r="B266" s="71"/>
      <c r="C266" s="71"/>
      <c r="D266" s="72"/>
      <c r="E266" s="72"/>
      <c r="F266" s="32"/>
      <c r="G266" s="32"/>
      <c r="H266" s="32"/>
      <c r="I266" s="32"/>
      <c r="J266" s="32"/>
      <c r="K266" s="32"/>
      <c r="L266" s="32"/>
      <c r="M266" s="32"/>
      <c r="N266" s="32"/>
      <c r="O266" s="122"/>
      <c r="P266" s="32"/>
      <c r="Q266" s="32"/>
    </row>
    <row r="267" spans="1:17">
      <c r="A267" s="71"/>
      <c r="B267" s="71"/>
      <c r="C267" s="71"/>
      <c r="D267" s="72"/>
      <c r="E267" s="72"/>
      <c r="F267" s="32"/>
      <c r="G267" s="32"/>
      <c r="H267" s="32"/>
      <c r="I267" s="32"/>
      <c r="J267" s="32"/>
      <c r="K267" s="32"/>
      <c r="L267" s="32"/>
      <c r="M267" s="32"/>
      <c r="N267" s="32"/>
      <c r="O267" s="122"/>
      <c r="P267" s="32"/>
      <c r="Q267" s="32"/>
    </row>
    <row r="268" spans="1:17">
      <c r="A268" s="71"/>
      <c r="B268" s="71"/>
      <c r="C268" s="71"/>
      <c r="D268" s="72"/>
      <c r="E268" s="72"/>
      <c r="F268" s="32"/>
      <c r="G268" s="32"/>
      <c r="H268" s="32"/>
      <c r="I268" s="32"/>
      <c r="J268" s="32"/>
      <c r="K268" s="32"/>
      <c r="L268" s="32"/>
      <c r="M268" s="32"/>
      <c r="N268" s="32"/>
      <c r="O268" s="122"/>
      <c r="P268" s="32"/>
      <c r="Q268" s="32"/>
    </row>
    <row r="269" spans="1:17">
      <c r="A269" s="71"/>
      <c r="B269" s="71"/>
      <c r="C269" s="71"/>
      <c r="D269" s="72"/>
      <c r="E269" s="72"/>
      <c r="F269" s="32"/>
      <c r="G269" s="32"/>
      <c r="H269" s="32"/>
      <c r="I269" s="32"/>
      <c r="J269" s="32"/>
      <c r="K269" s="32"/>
      <c r="L269" s="32"/>
      <c r="M269" s="32"/>
      <c r="N269" s="32"/>
      <c r="O269" s="122"/>
      <c r="P269" s="32"/>
      <c r="Q269" s="32"/>
    </row>
    <row r="270" spans="1:17">
      <c r="A270" s="71"/>
      <c r="B270" s="71"/>
      <c r="C270" s="71"/>
      <c r="D270" s="72"/>
      <c r="E270" s="72"/>
      <c r="F270" s="32"/>
      <c r="G270" s="32"/>
      <c r="H270" s="32"/>
      <c r="I270" s="32"/>
      <c r="J270" s="32"/>
      <c r="K270" s="32"/>
      <c r="L270" s="32"/>
      <c r="M270" s="32"/>
      <c r="N270" s="32"/>
      <c r="O270" s="122"/>
      <c r="P270" s="32"/>
      <c r="Q270" s="32"/>
    </row>
    <row r="271" spans="1:17">
      <c r="A271" s="71"/>
      <c r="B271" s="71"/>
      <c r="C271" s="71"/>
      <c r="D271" s="72"/>
      <c r="E271" s="72"/>
      <c r="F271" s="32"/>
      <c r="G271" s="32"/>
      <c r="H271" s="32"/>
      <c r="I271" s="32"/>
      <c r="J271" s="32"/>
      <c r="K271" s="32"/>
      <c r="L271" s="32"/>
      <c r="M271" s="32"/>
      <c r="N271" s="32"/>
      <c r="O271" s="122"/>
      <c r="P271" s="32"/>
      <c r="Q271" s="32"/>
    </row>
    <row r="272" spans="1:17">
      <c r="A272" s="71"/>
      <c r="B272" s="71"/>
      <c r="C272" s="71"/>
      <c r="D272" s="72"/>
      <c r="E272" s="72"/>
      <c r="F272" s="32"/>
      <c r="G272" s="32"/>
      <c r="H272" s="32"/>
      <c r="I272" s="32"/>
      <c r="J272" s="32"/>
      <c r="K272" s="32"/>
      <c r="L272" s="32"/>
      <c r="M272" s="32"/>
      <c r="N272" s="32"/>
      <c r="O272" s="122"/>
      <c r="P272" s="32"/>
      <c r="Q272" s="32"/>
    </row>
    <row r="273" spans="1:17">
      <c r="A273" s="71"/>
      <c r="B273" s="71"/>
      <c r="C273" s="71"/>
      <c r="D273" s="72"/>
      <c r="E273" s="72"/>
      <c r="F273" s="32"/>
      <c r="G273" s="32"/>
      <c r="H273" s="32"/>
      <c r="I273" s="32"/>
      <c r="J273" s="32"/>
      <c r="K273" s="32"/>
      <c r="L273" s="32"/>
      <c r="M273" s="32"/>
      <c r="N273" s="32"/>
      <c r="O273" s="122"/>
      <c r="P273" s="32"/>
      <c r="Q273" s="32"/>
    </row>
    <row r="274" spans="1:17">
      <c r="A274" s="71"/>
      <c r="B274" s="71"/>
      <c r="C274" s="71"/>
      <c r="D274" s="72"/>
      <c r="E274" s="72"/>
      <c r="F274" s="32"/>
      <c r="G274" s="32"/>
      <c r="H274" s="32"/>
      <c r="I274" s="32"/>
      <c r="J274" s="32"/>
      <c r="K274" s="32"/>
      <c r="L274" s="32"/>
      <c r="M274" s="32"/>
      <c r="N274" s="32"/>
      <c r="O274" s="122"/>
      <c r="P274" s="32"/>
      <c r="Q274" s="32"/>
    </row>
    <row r="275" spans="1:17">
      <c r="A275" s="71"/>
      <c r="B275" s="71"/>
      <c r="C275" s="71"/>
      <c r="D275" s="72"/>
      <c r="E275" s="72"/>
      <c r="F275" s="32"/>
      <c r="G275" s="32"/>
      <c r="H275" s="32"/>
      <c r="I275" s="32"/>
      <c r="J275" s="32"/>
      <c r="K275" s="32"/>
      <c r="L275" s="32"/>
      <c r="M275" s="32"/>
      <c r="N275" s="32"/>
      <c r="O275" s="122"/>
      <c r="P275" s="32"/>
      <c r="Q275" s="32"/>
    </row>
    <row r="276" spans="1:17">
      <c r="A276" s="71"/>
      <c r="B276" s="71"/>
      <c r="C276" s="71"/>
      <c r="D276" s="72"/>
      <c r="E276" s="72"/>
      <c r="F276" s="32"/>
      <c r="G276" s="32"/>
      <c r="H276" s="32"/>
      <c r="I276" s="32"/>
      <c r="J276" s="32"/>
      <c r="K276" s="32"/>
      <c r="L276" s="32"/>
      <c r="M276" s="32"/>
      <c r="N276" s="32"/>
      <c r="O276" s="122"/>
      <c r="P276" s="32"/>
      <c r="Q276" s="32"/>
    </row>
    <row r="277" spans="1:17">
      <c r="A277" s="71"/>
      <c r="B277" s="71"/>
      <c r="C277" s="71"/>
      <c r="D277" s="72"/>
      <c r="E277" s="72"/>
      <c r="F277" s="32"/>
      <c r="G277" s="32"/>
      <c r="H277" s="32"/>
      <c r="I277" s="32"/>
      <c r="J277" s="32"/>
      <c r="K277" s="32"/>
      <c r="L277" s="32"/>
      <c r="M277" s="32"/>
      <c r="N277" s="32"/>
      <c r="O277" s="122"/>
      <c r="P277" s="32"/>
      <c r="Q277" s="32"/>
    </row>
    <row r="278" spans="1:17">
      <c r="A278" s="71"/>
      <c r="B278" s="71"/>
      <c r="C278" s="71"/>
      <c r="D278" s="72"/>
      <c r="E278" s="72"/>
      <c r="F278" s="32"/>
      <c r="G278" s="32"/>
      <c r="H278" s="32"/>
      <c r="I278" s="32"/>
      <c r="J278" s="32"/>
      <c r="K278" s="32"/>
      <c r="L278" s="32"/>
      <c r="M278" s="32"/>
      <c r="N278" s="32"/>
      <c r="O278" s="122"/>
      <c r="P278" s="32"/>
      <c r="Q278" s="32"/>
    </row>
    <row r="279" spans="1:17">
      <c r="A279" s="71"/>
      <c r="B279" s="71"/>
      <c r="C279" s="71"/>
      <c r="D279" s="72"/>
      <c r="E279" s="72"/>
      <c r="F279" s="32"/>
      <c r="G279" s="32"/>
      <c r="H279" s="32"/>
      <c r="I279" s="32"/>
      <c r="J279" s="32"/>
      <c r="K279" s="32"/>
      <c r="L279" s="32"/>
      <c r="M279" s="32"/>
      <c r="N279" s="32"/>
      <c r="O279" s="122"/>
      <c r="P279" s="32"/>
      <c r="Q279" s="32"/>
    </row>
    <row r="280" spans="1:17">
      <c r="A280" s="71"/>
      <c r="B280" s="71"/>
      <c r="C280" s="71"/>
      <c r="D280" s="72"/>
      <c r="E280" s="72"/>
      <c r="F280" s="32"/>
      <c r="G280" s="32"/>
      <c r="H280" s="32"/>
      <c r="I280" s="32"/>
      <c r="J280" s="32"/>
      <c r="K280" s="32"/>
      <c r="L280" s="32"/>
      <c r="M280" s="32"/>
      <c r="N280" s="32"/>
      <c r="O280" s="122"/>
      <c r="P280" s="32"/>
      <c r="Q280" s="32"/>
    </row>
    <row r="281" spans="1:17">
      <c r="A281" s="71"/>
      <c r="B281" s="71"/>
      <c r="C281" s="71"/>
      <c r="D281" s="72"/>
      <c r="E281" s="72"/>
      <c r="F281" s="32"/>
      <c r="G281" s="32"/>
      <c r="H281" s="32"/>
      <c r="I281" s="32"/>
      <c r="J281" s="32"/>
      <c r="K281" s="32"/>
      <c r="L281" s="32"/>
      <c r="M281" s="32"/>
      <c r="N281" s="32"/>
      <c r="O281" s="122"/>
      <c r="P281" s="32"/>
      <c r="Q281" s="32"/>
    </row>
    <row r="282" spans="1:17">
      <c r="A282" s="71"/>
      <c r="B282" s="71"/>
      <c r="C282" s="71"/>
      <c r="D282" s="72"/>
      <c r="E282" s="72"/>
      <c r="F282" s="32"/>
      <c r="G282" s="32"/>
      <c r="H282" s="32"/>
      <c r="I282" s="32"/>
      <c r="J282" s="32"/>
      <c r="K282" s="32"/>
      <c r="L282" s="32"/>
      <c r="M282" s="32"/>
      <c r="N282" s="32"/>
      <c r="O282" s="122"/>
      <c r="P282" s="32"/>
      <c r="Q282" s="32"/>
    </row>
    <row r="283" spans="1:17">
      <c r="A283" s="71"/>
      <c r="B283" s="71"/>
      <c r="C283" s="71"/>
      <c r="D283" s="72"/>
      <c r="E283" s="72"/>
      <c r="F283" s="32"/>
      <c r="G283" s="32"/>
      <c r="H283" s="32"/>
      <c r="I283" s="32"/>
      <c r="J283" s="32"/>
      <c r="K283" s="32"/>
      <c r="L283" s="32"/>
      <c r="M283" s="32"/>
      <c r="N283" s="32"/>
      <c r="O283" s="122"/>
      <c r="P283" s="32"/>
      <c r="Q283" s="32"/>
    </row>
    <row r="284" spans="1:17">
      <c r="A284" s="71"/>
      <c r="B284" s="71"/>
      <c r="C284" s="71"/>
      <c r="D284" s="72"/>
      <c r="E284" s="72"/>
      <c r="F284" s="32"/>
      <c r="G284" s="32"/>
      <c r="H284" s="32"/>
      <c r="I284" s="32"/>
      <c r="J284" s="32"/>
      <c r="K284" s="32"/>
      <c r="L284" s="32"/>
      <c r="M284" s="32"/>
      <c r="N284" s="32"/>
      <c r="O284" s="122"/>
      <c r="P284" s="32"/>
      <c r="Q284" s="32"/>
    </row>
    <row r="285" spans="1:17">
      <c r="A285" s="71"/>
      <c r="B285" s="71"/>
      <c r="C285" s="71"/>
      <c r="D285" s="72"/>
      <c r="E285" s="72"/>
      <c r="F285" s="32"/>
      <c r="G285" s="32"/>
      <c r="H285" s="32"/>
      <c r="I285" s="32"/>
      <c r="J285" s="32"/>
      <c r="K285" s="32"/>
      <c r="L285" s="32"/>
      <c r="M285" s="32"/>
      <c r="N285" s="32"/>
      <c r="O285" s="122"/>
      <c r="P285" s="32"/>
      <c r="Q285" s="32"/>
    </row>
    <row r="286" spans="1:17">
      <c r="A286" s="71"/>
      <c r="B286" s="71"/>
      <c r="C286" s="71"/>
      <c r="D286" s="72"/>
      <c r="E286" s="72"/>
      <c r="F286" s="32"/>
      <c r="G286" s="32"/>
      <c r="H286" s="32"/>
      <c r="I286" s="32"/>
      <c r="J286" s="32"/>
      <c r="K286" s="32"/>
      <c r="L286" s="32"/>
      <c r="M286" s="32"/>
      <c r="N286" s="32"/>
      <c r="O286" s="122"/>
      <c r="P286" s="32"/>
      <c r="Q286" s="32"/>
    </row>
    <row r="287" spans="1:17">
      <c r="A287" s="71"/>
      <c r="B287" s="71"/>
      <c r="C287" s="71"/>
      <c r="D287" s="72"/>
      <c r="E287" s="72"/>
      <c r="F287" s="32"/>
      <c r="G287" s="32"/>
      <c r="H287" s="32"/>
      <c r="I287" s="32"/>
      <c r="J287" s="32"/>
      <c r="K287" s="32"/>
      <c r="L287" s="32"/>
      <c r="M287" s="32"/>
      <c r="N287" s="32"/>
      <c r="O287" s="122"/>
      <c r="P287" s="32"/>
      <c r="Q287" s="32"/>
    </row>
    <row r="288" spans="1:17">
      <c r="A288" s="71"/>
      <c r="B288" s="71"/>
      <c r="C288" s="71"/>
      <c r="D288" s="72"/>
      <c r="E288" s="72"/>
      <c r="F288" s="32"/>
      <c r="G288" s="32"/>
      <c r="H288" s="32"/>
      <c r="I288" s="32"/>
      <c r="J288" s="32"/>
      <c r="K288" s="32"/>
      <c r="L288" s="32"/>
      <c r="M288" s="32"/>
      <c r="N288" s="32"/>
      <c r="O288" s="122"/>
      <c r="P288" s="32"/>
      <c r="Q288" s="32"/>
    </row>
    <row r="289" spans="1:17">
      <c r="A289" s="71"/>
      <c r="B289" s="71"/>
      <c r="C289" s="71"/>
      <c r="D289" s="72"/>
      <c r="E289" s="72"/>
      <c r="F289" s="32"/>
      <c r="G289" s="32"/>
      <c r="H289" s="32"/>
      <c r="I289" s="32"/>
      <c r="J289" s="32"/>
      <c r="K289" s="32"/>
      <c r="L289" s="32"/>
      <c r="M289" s="32"/>
      <c r="N289" s="32"/>
      <c r="O289" s="122"/>
      <c r="P289" s="32"/>
      <c r="Q289" s="32"/>
    </row>
    <row r="290" spans="1:17">
      <c r="A290" s="71"/>
      <c r="B290" s="71"/>
      <c r="C290" s="71"/>
      <c r="D290" s="72"/>
      <c r="E290" s="72"/>
      <c r="F290" s="32"/>
      <c r="G290" s="32"/>
      <c r="H290" s="32"/>
      <c r="I290" s="32"/>
      <c r="J290" s="32"/>
      <c r="K290" s="32"/>
      <c r="L290" s="32"/>
      <c r="M290" s="32"/>
      <c r="N290" s="32"/>
      <c r="O290" s="122"/>
      <c r="P290" s="32"/>
      <c r="Q290" s="32"/>
    </row>
    <row r="291" spans="1:17">
      <c r="A291" s="71"/>
      <c r="B291" s="71"/>
      <c r="C291" s="71"/>
      <c r="D291" s="72"/>
      <c r="E291" s="72"/>
      <c r="F291" s="32"/>
      <c r="G291" s="32"/>
      <c r="H291" s="32"/>
      <c r="I291" s="32"/>
      <c r="J291" s="32"/>
      <c r="K291" s="32"/>
      <c r="L291" s="32"/>
      <c r="M291" s="32"/>
      <c r="N291" s="32"/>
      <c r="O291" s="122"/>
      <c r="P291" s="32"/>
      <c r="Q291" s="32"/>
    </row>
    <row r="292" spans="1:17">
      <c r="A292" s="71"/>
      <c r="B292" s="71"/>
      <c r="C292" s="71"/>
      <c r="D292" s="72"/>
      <c r="E292" s="72"/>
      <c r="F292" s="32"/>
      <c r="G292" s="32"/>
      <c r="H292" s="32"/>
      <c r="I292" s="32"/>
      <c r="J292" s="32"/>
      <c r="K292" s="32"/>
      <c r="L292" s="32"/>
      <c r="M292" s="32"/>
      <c r="N292" s="32"/>
      <c r="O292" s="122"/>
      <c r="P292" s="32"/>
      <c r="Q292" s="32"/>
    </row>
    <row r="293" spans="1:17">
      <c r="A293" s="71"/>
      <c r="B293" s="71"/>
      <c r="C293" s="71"/>
      <c r="D293" s="72"/>
      <c r="E293" s="72"/>
      <c r="F293" s="32"/>
      <c r="G293" s="32"/>
      <c r="H293" s="32"/>
      <c r="I293" s="32"/>
      <c r="J293" s="32"/>
      <c r="K293" s="32"/>
      <c r="L293" s="32"/>
      <c r="M293" s="32"/>
      <c r="N293" s="32"/>
      <c r="O293" s="122"/>
      <c r="P293" s="32"/>
      <c r="Q293" s="32"/>
    </row>
    <row r="294" spans="1:17">
      <c r="A294" s="71"/>
      <c r="B294" s="71"/>
      <c r="C294" s="71"/>
      <c r="D294" s="72"/>
      <c r="E294" s="72"/>
      <c r="F294" s="32"/>
      <c r="G294" s="32"/>
      <c r="H294" s="32"/>
      <c r="I294" s="32"/>
      <c r="J294" s="32"/>
      <c r="K294" s="32"/>
      <c r="L294" s="32"/>
      <c r="M294" s="32"/>
      <c r="N294" s="32"/>
      <c r="O294" s="122"/>
      <c r="P294" s="32"/>
      <c r="Q294" s="32"/>
    </row>
    <row r="295" spans="1:17">
      <c r="A295" s="71"/>
      <c r="B295" s="71"/>
      <c r="C295" s="71"/>
      <c r="D295" s="72"/>
      <c r="E295" s="72"/>
      <c r="F295" s="32"/>
      <c r="G295" s="32"/>
      <c r="H295" s="32"/>
      <c r="I295" s="32"/>
      <c r="J295" s="32"/>
      <c r="K295" s="32"/>
      <c r="L295" s="32"/>
      <c r="M295" s="32"/>
      <c r="N295" s="32"/>
      <c r="O295" s="122"/>
      <c r="P295" s="32"/>
      <c r="Q295" s="32"/>
    </row>
    <row r="296" spans="1:17">
      <c r="A296" s="71"/>
      <c r="B296" s="71"/>
      <c r="C296" s="71"/>
      <c r="D296" s="72"/>
      <c r="E296" s="72"/>
      <c r="F296" s="32"/>
      <c r="G296" s="32"/>
      <c r="H296" s="32"/>
      <c r="I296" s="32"/>
      <c r="J296" s="32"/>
      <c r="K296" s="32"/>
      <c r="L296" s="32"/>
      <c r="M296" s="32"/>
      <c r="N296" s="32"/>
      <c r="O296" s="122"/>
      <c r="P296" s="32"/>
      <c r="Q296" s="32"/>
    </row>
    <row r="297" spans="1:17">
      <c r="A297" s="71"/>
      <c r="B297" s="71"/>
      <c r="C297" s="71"/>
      <c r="D297" s="72"/>
      <c r="E297" s="72"/>
      <c r="F297" s="32"/>
      <c r="G297" s="32"/>
      <c r="H297" s="32"/>
      <c r="I297" s="32"/>
      <c r="J297" s="32"/>
      <c r="K297" s="32"/>
      <c r="L297" s="32"/>
      <c r="M297" s="32"/>
      <c r="N297" s="32"/>
      <c r="O297" s="122"/>
      <c r="P297" s="32"/>
      <c r="Q297" s="32"/>
    </row>
    <row r="298" spans="1:17">
      <c r="A298" s="71"/>
      <c r="B298" s="71"/>
      <c r="C298" s="71"/>
      <c r="D298" s="72"/>
      <c r="E298" s="72"/>
      <c r="F298" s="32"/>
      <c r="G298" s="32"/>
      <c r="H298" s="32"/>
      <c r="I298" s="32"/>
      <c r="J298" s="32"/>
      <c r="K298" s="32"/>
      <c r="L298" s="32"/>
      <c r="M298" s="32"/>
      <c r="N298" s="32"/>
      <c r="O298" s="122"/>
      <c r="P298" s="32"/>
      <c r="Q298" s="32"/>
    </row>
    <row r="299" spans="1:17">
      <c r="A299" s="71"/>
      <c r="B299" s="71"/>
      <c r="C299" s="71"/>
      <c r="D299" s="72"/>
      <c r="E299" s="72"/>
      <c r="F299" s="32"/>
      <c r="G299" s="32"/>
      <c r="H299" s="32"/>
      <c r="I299" s="32"/>
      <c r="J299" s="32"/>
      <c r="K299" s="32"/>
      <c r="L299" s="32"/>
      <c r="M299" s="32"/>
      <c r="N299" s="32"/>
      <c r="O299" s="122"/>
      <c r="P299" s="32"/>
      <c r="Q299" s="32"/>
    </row>
    <row r="300" spans="1:17">
      <c r="A300" s="71"/>
      <c r="B300" s="71"/>
      <c r="C300" s="71"/>
      <c r="D300" s="72"/>
      <c r="E300" s="72"/>
      <c r="F300" s="32"/>
      <c r="G300" s="32"/>
      <c r="H300" s="32"/>
      <c r="I300" s="32"/>
      <c r="J300" s="32"/>
      <c r="K300" s="32"/>
      <c r="L300" s="32"/>
      <c r="M300" s="32"/>
      <c r="N300" s="32"/>
      <c r="O300" s="122"/>
      <c r="P300" s="32"/>
      <c r="Q300" s="32"/>
    </row>
    <row r="301" spans="1:17">
      <c r="A301" s="71"/>
      <c r="B301" s="71"/>
      <c r="C301" s="71"/>
      <c r="D301" s="72"/>
      <c r="E301" s="72"/>
      <c r="F301" s="32"/>
      <c r="G301" s="32"/>
      <c r="H301" s="32"/>
      <c r="I301" s="32"/>
      <c r="J301" s="32"/>
      <c r="K301" s="32"/>
      <c r="L301" s="32"/>
      <c r="M301" s="32"/>
      <c r="N301" s="32"/>
      <c r="O301" s="122"/>
      <c r="P301" s="32"/>
      <c r="Q301" s="32"/>
    </row>
    <row r="302" spans="1:17">
      <c r="A302" s="71"/>
      <c r="B302" s="71"/>
      <c r="C302" s="71"/>
      <c r="D302" s="72"/>
      <c r="E302" s="72"/>
      <c r="F302" s="32"/>
      <c r="G302" s="32"/>
      <c r="H302" s="32"/>
      <c r="I302" s="32"/>
      <c r="J302" s="32"/>
      <c r="K302" s="32"/>
      <c r="L302" s="32"/>
      <c r="M302" s="32"/>
      <c r="N302" s="32"/>
      <c r="O302" s="122"/>
      <c r="P302" s="32"/>
      <c r="Q302" s="32"/>
    </row>
    <row r="303" spans="1:17">
      <c r="A303" s="71"/>
      <c r="B303" s="71"/>
      <c r="C303" s="71"/>
      <c r="D303" s="72"/>
      <c r="E303" s="72"/>
      <c r="F303" s="32"/>
      <c r="G303" s="32"/>
      <c r="H303" s="32"/>
      <c r="I303" s="32"/>
      <c r="J303" s="32"/>
      <c r="K303" s="32"/>
      <c r="L303" s="32"/>
      <c r="M303" s="32"/>
      <c r="N303" s="32"/>
      <c r="O303" s="122"/>
      <c r="P303" s="32"/>
      <c r="Q303" s="32"/>
    </row>
    <row r="304" spans="1:17">
      <c r="A304" s="71"/>
      <c r="B304" s="71"/>
      <c r="C304" s="71"/>
      <c r="D304" s="72"/>
      <c r="E304" s="72"/>
      <c r="F304" s="32"/>
      <c r="G304" s="32"/>
      <c r="H304" s="32"/>
      <c r="I304" s="32"/>
      <c r="J304" s="32"/>
      <c r="K304" s="32"/>
      <c r="L304" s="32"/>
      <c r="M304" s="32"/>
      <c r="N304" s="32"/>
      <c r="O304" s="122"/>
      <c r="P304" s="32"/>
      <c r="Q304" s="32"/>
    </row>
    <row r="305" spans="1:17">
      <c r="A305" s="71"/>
      <c r="B305" s="71"/>
      <c r="C305" s="71"/>
      <c r="D305" s="72"/>
      <c r="E305" s="72"/>
      <c r="F305" s="32"/>
      <c r="G305" s="32"/>
      <c r="H305" s="32"/>
      <c r="I305" s="32"/>
      <c r="J305" s="32"/>
      <c r="K305" s="32"/>
      <c r="L305" s="32"/>
      <c r="M305" s="32"/>
      <c r="N305" s="32"/>
      <c r="O305" s="122"/>
      <c r="P305" s="32"/>
      <c r="Q305" s="32"/>
    </row>
    <row r="306" spans="1:17">
      <c r="A306" s="71"/>
      <c r="B306" s="71"/>
      <c r="C306" s="71"/>
      <c r="D306" s="72"/>
      <c r="E306" s="72"/>
      <c r="F306" s="32"/>
      <c r="G306" s="32"/>
      <c r="H306" s="32"/>
      <c r="I306" s="32"/>
      <c r="J306" s="32"/>
      <c r="K306" s="32"/>
      <c r="L306" s="32"/>
      <c r="M306" s="32"/>
      <c r="N306" s="32"/>
      <c r="O306" s="122"/>
      <c r="P306" s="32"/>
      <c r="Q306" s="32"/>
    </row>
    <row r="307" spans="1:17">
      <c r="A307" s="71"/>
      <c r="B307" s="71"/>
      <c r="C307" s="71"/>
      <c r="D307" s="72"/>
      <c r="E307" s="72"/>
      <c r="F307" s="32"/>
      <c r="G307" s="32"/>
      <c r="H307" s="32"/>
      <c r="I307" s="32"/>
      <c r="J307" s="32"/>
      <c r="K307" s="32"/>
      <c r="L307" s="32"/>
      <c r="M307" s="32"/>
      <c r="N307" s="32"/>
      <c r="O307" s="122"/>
      <c r="P307" s="32"/>
      <c r="Q307" s="32"/>
    </row>
    <row r="308" spans="1:17">
      <c r="A308" s="71"/>
      <c r="B308" s="71"/>
      <c r="C308" s="71"/>
      <c r="D308" s="72"/>
      <c r="E308" s="72"/>
      <c r="F308" s="32"/>
      <c r="G308" s="32"/>
      <c r="H308" s="32"/>
      <c r="I308" s="32"/>
      <c r="J308" s="32"/>
      <c r="K308" s="32"/>
      <c r="L308" s="32"/>
      <c r="M308" s="32"/>
      <c r="N308" s="32"/>
      <c r="O308" s="122"/>
      <c r="P308" s="32"/>
      <c r="Q308" s="32"/>
    </row>
    <row r="309" spans="1:17">
      <c r="A309" s="71"/>
      <c r="B309" s="71"/>
      <c r="C309" s="71"/>
      <c r="D309" s="72"/>
      <c r="E309" s="72"/>
      <c r="F309" s="32"/>
      <c r="G309" s="32"/>
      <c r="H309" s="32"/>
      <c r="I309" s="32"/>
      <c r="J309" s="32"/>
      <c r="K309" s="32"/>
      <c r="L309" s="32"/>
      <c r="M309" s="32"/>
      <c r="N309" s="32"/>
      <c r="O309" s="122"/>
      <c r="P309" s="32"/>
      <c r="Q309" s="32"/>
    </row>
    <row r="310" spans="1:17">
      <c r="A310" s="71"/>
      <c r="B310" s="71"/>
      <c r="C310" s="71"/>
      <c r="D310" s="72"/>
      <c r="E310" s="72"/>
      <c r="F310" s="32"/>
      <c r="G310" s="32"/>
      <c r="H310" s="32"/>
      <c r="I310" s="32"/>
      <c r="J310" s="32"/>
      <c r="K310" s="32"/>
      <c r="L310" s="32"/>
      <c r="M310" s="32"/>
      <c r="N310" s="32"/>
      <c r="O310" s="122"/>
      <c r="P310" s="32"/>
      <c r="Q310" s="32"/>
    </row>
    <row r="311" spans="1:17">
      <c r="A311" s="71"/>
      <c r="B311" s="71"/>
      <c r="C311" s="71"/>
      <c r="D311" s="72"/>
      <c r="E311" s="72"/>
      <c r="F311" s="32"/>
      <c r="G311" s="32"/>
      <c r="H311" s="32"/>
      <c r="I311" s="32"/>
      <c r="J311" s="32"/>
      <c r="K311" s="32"/>
      <c r="L311" s="32"/>
      <c r="M311" s="32"/>
      <c r="N311" s="32"/>
      <c r="O311" s="122"/>
      <c r="P311" s="32"/>
      <c r="Q311" s="32"/>
    </row>
    <row r="312" spans="1:17">
      <c r="A312" s="71"/>
      <c r="B312" s="71"/>
      <c r="C312" s="71"/>
      <c r="D312" s="72"/>
      <c r="E312" s="72"/>
      <c r="F312" s="32"/>
      <c r="G312" s="32"/>
      <c r="H312" s="32"/>
      <c r="I312" s="32"/>
      <c r="J312" s="32"/>
      <c r="K312" s="32"/>
      <c r="L312" s="32"/>
      <c r="M312" s="32"/>
      <c r="N312" s="32"/>
      <c r="O312" s="122"/>
      <c r="P312" s="32"/>
      <c r="Q312" s="32"/>
    </row>
    <row r="313" spans="1:17">
      <c r="A313" s="71"/>
      <c r="B313" s="71"/>
      <c r="C313" s="71"/>
      <c r="D313" s="72"/>
      <c r="E313" s="72"/>
      <c r="F313" s="32"/>
      <c r="G313" s="32"/>
      <c r="H313" s="32"/>
      <c r="I313" s="32"/>
      <c r="J313" s="32"/>
      <c r="K313" s="32"/>
      <c r="L313" s="32"/>
      <c r="M313" s="32"/>
      <c r="N313" s="32"/>
      <c r="O313" s="122"/>
      <c r="P313" s="32"/>
      <c r="Q313" s="32"/>
    </row>
    <row r="314" spans="1:17">
      <c r="A314" s="71"/>
      <c r="B314" s="71"/>
      <c r="C314" s="71"/>
      <c r="D314" s="72"/>
      <c r="E314" s="72"/>
      <c r="F314" s="32"/>
      <c r="G314" s="32"/>
      <c r="H314" s="32"/>
      <c r="I314" s="32"/>
      <c r="J314" s="32"/>
      <c r="K314" s="32"/>
      <c r="L314" s="32"/>
      <c r="M314" s="32"/>
      <c r="N314" s="32"/>
      <c r="O314" s="122"/>
      <c r="P314" s="32"/>
      <c r="Q314" s="32"/>
    </row>
    <row r="315" spans="1:17">
      <c r="A315" s="71"/>
      <c r="B315" s="71"/>
      <c r="C315" s="71"/>
      <c r="D315" s="72"/>
      <c r="E315" s="72"/>
      <c r="F315" s="32"/>
      <c r="G315" s="32"/>
      <c r="H315" s="32"/>
      <c r="I315" s="32"/>
      <c r="J315" s="32"/>
      <c r="K315" s="32"/>
      <c r="L315" s="32"/>
      <c r="M315" s="32"/>
      <c r="N315" s="32"/>
      <c r="O315" s="122"/>
      <c r="P315" s="32"/>
      <c r="Q315" s="32"/>
    </row>
    <row r="316" spans="1:17">
      <c r="A316" s="71"/>
      <c r="B316" s="71"/>
      <c r="C316" s="71"/>
      <c r="D316" s="72"/>
      <c r="E316" s="72"/>
      <c r="F316" s="32"/>
      <c r="G316" s="32"/>
      <c r="H316" s="32"/>
      <c r="I316" s="32"/>
      <c r="J316" s="32"/>
      <c r="K316" s="32"/>
      <c r="L316" s="32"/>
      <c r="M316" s="32"/>
      <c r="N316" s="32"/>
      <c r="O316" s="122"/>
      <c r="P316" s="32"/>
      <c r="Q316" s="32"/>
    </row>
    <row r="317" spans="1:17">
      <c r="A317" s="71"/>
      <c r="B317" s="71"/>
      <c r="C317" s="71"/>
      <c r="D317" s="72"/>
      <c r="E317" s="72"/>
      <c r="F317" s="32"/>
      <c r="G317" s="32"/>
      <c r="H317" s="32"/>
      <c r="I317" s="32"/>
      <c r="J317" s="32"/>
      <c r="K317" s="32"/>
      <c r="L317" s="32"/>
      <c r="M317" s="32"/>
      <c r="N317" s="32"/>
      <c r="O317" s="122"/>
      <c r="P317" s="32"/>
      <c r="Q317" s="32"/>
    </row>
    <row r="318" spans="1:17">
      <c r="A318" s="71"/>
      <c r="B318" s="71"/>
      <c r="C318" s="71"/>
      <c r="D318" s="72"/>
      <c r="E318" s="72"/>
      <c r="F318" s="32"/>
      <c r="G318" s="32"/>
      <c r="H318" s="32"/>
      <c r="I318" s="32"/>
      <c r="J318" s="32"/>
      <c r="K318" s="32"/>
      <c r="L318" s="32"/>
      <c r="M318" s="32"/>
      <c r="N318" s="32"/>
      <c r="O318" s="122"/>
      <c r="P318" s="32"/>
      <c r="Q318" s="32"/>
    </row>
    <row r="319" spans="1:17">
      <c r="A319" s="71"/>
      <c r="B319" s="71"/>
      <c r="C319" s="71"/>
      <c r="D319" s="72"/>
      <c r="E319" s="72"/>
      <c r="F319" s="32"/>
      <c r="G319" s="32"/>
      <c r="H319" s="32"/>
      <c r="I319" s="32"/>
      <c r="J319" s="32"/>
      <c r="K319" s="32"/>
      <c r="L319" s="32"/>
      <c r="M319" s="32"/>
      <c r="N319" s="32"/>
      <c r="O319" s="122"/>
      <c r="P319" s="32"/>
      <c r="Q319" s="32"/>
    </row>
    <row r="320" spans="1:17">
      <c r="A320" s="71"/>
      <c r="B320" s="71"/>
      <c r="C320" s="71"/>
      <c r="D320" s="72"/>
      <c r="E320" s="72"/>
      <c r="F320" s="32"/>
      <c r="G320" s="32"/>
      <c r="H320" s="32"/>
      <c r="I320" s="32"/>
      <c r="J320" s="32"/>
      <c r="K320" s="32"/>
      <c r="L320" s="32"/>
      <c r="M320" s="32"/>
      <c r="N320" s="32"/>
      <c r="O320" s="122"/>
      <c r="P320" s="32"/>
      <c r="Q320" s="32"/>
    </row>
    <row r="321" spans="1:17">
      <c r="A321" s="71"/>
      <c r="B321" s="71"/>
      <c r="C321" s="71"/>
      <c r="D321" s="72"/>
      <c r="E321" s="72"/>
      <c r="F321" s="32"/>
      <c r="G321" s="32"/>
      <c r="H321" s="32"/>
      <c r="I321" s="32"/>
      <c r="J321" s="32"/>
      <c r="K321" s="32"/>
      <c r="L321" s="32"/>
      <c r="M321" s="32"/>
      <c r="N321" s="32"/>
      <c r="O321" s="122"/>
      <c r="P321" s="32"/>
      <c r="Q321" s="32"/>
    </row>
    <row r="322" spans="1:17">
      <c r="A322" s="71"/>
      <c r="B322" s="71"/>
      <c r="C322" s="71"/>
      <c r="D322" s="72"/>
      <c r="E322" s="72"/>
      <c r="F322" s="32"/>
      <c r="G322" s="32"/>
      <c r="H322" s="32"/>
      <c r="I322" s="32"/>
      <c r="J322" s="32"/>
      <c r="K322" s="32"/>
      <c r="L322" s="32"/>
      <c r="M322" s="32"/>
      <c r="N322" s="32"/>
      <c r="O322" s="122"/>
      <c r="P322" s="32"/>
      <c r="Q322" s="32"/>
    </row>
    <row r="323" spans="1:17">
      <c r="A323" s="71"/>
      <c r="B323" s="71"/>
      <c r="C323" s="71"/>
      <c r="D323" s="72"/>
      <c r="E323" s="72"/>
      <c r="F323" s="32"/>
      <c r="G323" s="32"/>
      <c r="H323" s="32"/>
      <c r="I323" s="32"/>
      <c r="J323" s="32"/>
      <c r="K323" s="32"/>
      <c r="L323" s="32"/>
      <c r="M323" s="32"/>
      <c r="N323" s="32"/>
      <c r="O323" s="122"/>
      <c r="P323" s="32"/>
      <c r="Q323" s="32"/>
    </row>
    <row r="324" spans="1:17">
      <c r="A324" s="71"/>
      <c r="B324" s="71"/>
      <c r="C324" s="71"/>
      <c r="D324" s="72"/>
      <c r="E324" s="72"/>
      <c r="F324" s="32"/>
      <c r="G324" s="32"/>
      <c r="H324" s="32"/>
      <c r="I324" s="32"/>
      <c r="J324" s="32"/>
      <c r="K324" s="32"/>
      <c r="L324" s="32"/>
      <c r="M324" s="32"/>
      <c r="N324" s="32"/>
      <c r="O324" s="122"/>
      <c r="P324" s="32"/>
      <c r="Q324" s="32"/>
    </row>
    <row r="325" spans="1:17">
      <c r="A325" s="71"/>
      <c r="B325" s="71"/>
      <c r="C325" s="71"/>
      <c r="D325" s="72"/>
      <c r="E325" s="72"/>
      <c r="F325" s="32"/>
      <c r="G325" s="32"/>
      <c r="H325" s="32"/>
      <c r="I325" s="32"/>
      <c r="J325" s="32"/>
      <c r="K325" s="32"/>
      <c r="L325" s="32"/>
      <c r="M325" s="32"/>
      <c r="N325" s="32"/>
      <c r="O325" s="122"/>
      <c r="P325" s="32"/>
      <c r="Q325" s="32"/>
    </row>
    <row r="326" spans="1:17">
      <c r="A326" s="71"/>
      <c r="B326" s="71"/>
      <c r="C326" s="71"/>
      <c r="D326" s="72"/>
      <c r="E326" s="72"/>
      <c r="F326" s="32"/>
      <c r="G326" s="32"/>
      <c r="H326" s="32"/>
      <c r="I326" s="32"/>
      <c r="J326" s="32"/>
      <c r="K326" s="32"/>
      <c r="L326" s="32"/>
      <c r="M326" s="32"/>
      <c r="N326" s="32"/>
      <c r="O326" s="122"/>
      <c r="P326" s="32"/>
      <c r="Q326" s="32"/>
    </row>
    <row r="327" spans="1:17">
      <c r="A327" s="71"/>
      <c r="B327" s="71"/>
      <c r="C327" s="71"/>
      <c r="D327" s="72"/>
      <c r="E327" s="72"/>
      <c r="F327" s="32"/>
      <c r="G327" s="32"/>
      <c r="H327" s="32"/>
      <c r="I327" s="32"/>
      <c r="J327" s="32"/>
      <c r="K327" s="32"/>
      <c r="L327" s="32"/>
      <c r="M327" s="32"/>
      <c r="N327" s="32"/>
      <c r="O327" s="122"/>
      <c r="P327" s="32"/>
      <c r="Q327" s="32"/>
    </row>
    <row r="328" spans="1:17">
      <c r="A328" s="71"/>
      <c r="B328" s="71"/>
      <c r="C328" s="71"/>
      <c r="D328" s="72"/>
      <c r="E328" s="72"/>
      <c r="F328" s="32"/>
      <c r="G328" s="32"/>
      <c r="H328" s="32"/>
      <c r="I328" s="32"/>
      <c r="J328" s="32"/>
      <c r="K328" s="32"/>
      <c r="L328" s="32"/>
      <c r="M328" s="32"/>
      <c r="N328" s="32"/>
      <c r="O328" s="122"/>
      <c r="P328" s="32"/>
      <c r="Q328" s="32"/>
    </row>
    <row r="329" spans="1:17">
      <c r="A329" s="71"/>
      <c r="B329" s="71"/>
      <c r="C329" s="71"/>
      <c r="D329" s="72"/>
      <c r="E329" s="72"/>
      <c r="F329" s="32"/>
      <c r="G329" s="32"/>
      <c r="H329" s="32"/>
      <c r="I329" s="32"/>
      <c r="J329" s="32"/>
      <c r="K329" s="32"/>
      <c r="L329" s="32"/>
      <c r="M329" s="32"/>
      <c r="N329" s="32"/>
      <c r="O329" s="122"/>
      <c r="P329" s="32"/>
      <c r="Q329" s="32"/>
    </row>
    <row r="330" spans="1:17">
      <c r="A330" s="71"/>
      <c r="B330" s="71"/>
      <c r="C330" s="71"/>
      <c r="D330" s="72"/>
      <c r="E330" s="72"/>
      <c r="F330" s="32"/>
      <c r="G330" s="32"/>
      <c r="H330" s="32"/>
      <c r="I330" s="32"/>
      <c r="J330" s="32"/>
      <c r="K330" s="32"/>
      <c r="L330" s="32"/>
      <c r="M330" s="32"/>
      <c r="N330" s="32"/>
      <c r="O330" s="122"/>
      <c r="P330" s="32"/>
      <c r="Q330" s="32"/>
    </row>
    <row r="331" spans="1:17">
      <c r="A331" s="71"/>
      <c r="B331" s="71"/>
      <c r="C331" s="71"/>
      <c r="D331" s="72"/>
      <c r="E331" s="72"/>
      <c r="F331" s="32"/>
      <c r="G331" s="32"/>
      <c r="H331" s="32"/>
      <c r="I331" s="32"/>
      <c r="J331" s="32"/>
      <c r="K331" s="32"/>
      <c r="L331" s="32"/>
      <c r="M331" s="32"/>
      <c r="N331" s="32"/>
      <c r="O331" s="122"/>
      <c r="P331" s="32"/>
      <c r="Q331" s="32"/>
    </row>
    <row r="332" spans="1:17">
      <c r="A332" s="71"/>
      <c r="B332" s="71"/>
      <c r="C332" s="71"/>
      <c r="D332" s="72"/>
      <c r="E332" s="72"/>
      <c r="F332" s="32"/>
      <c r="G332" s="32"/>
      <c r="H332" s="32"/>
      <c r="I332" s="32"/>
      <c r="J332" s="32"/>
      <c r="K332" s="32"/>
      <c r="L332" s="32"/>
      <c r="M332" s="32"/>
      <c r="N332" s="32"/>
      <c r="O332" s="122"/>
      <c r="P332" s="32"/>
      <c r="Q332" s="32"/>
    </row>
    <row r="333" spans="1:17">
      <c r="A333" s="71"/>
      <c r="B333" s="71"/>
      <c r="C333" s="71"/>
      <c r="D333" s="72"/>
      <c r="E333" s="72"/>
      <c r="F333" s="32"/>
      <c r="G333" s="32"/>
      <c r="H333" s="32"/>
      <c r="I333" s="32"/>
      <c r="J333" s="32"/>
      <c r="K333" s="32"/>
      <c r="L333" s="32"/>
      <c r="M333" s="32"/>
      <c r="N333" s="32"/>
      <c r="O333" s="122"/>
      <c r="P333" s="32"/>
      <c r="Q333" s="32"/>
    </row>
    <row r="334" spans="1:17">
      <c r="A334" s="71"/>
      <c r="B334" s="71"/>
      <c r="C334" s="71"/>
      <c r="D334" s="72"/>
      <c r="E334" s="72"/>
      <c r="F334" s="32"/>
      <c r="G334" s="32"/>
      <c r="H334" s="32"/>
      <c r="I334" s="32"/>
      <c r="J334" s="32"/>
      <c r="K334" s="32"/>
      <c r="L334" s="32"/>
      <c r="M334" s="32"/>
      <c r="N334" s="32"/>
      <c r="O334" s="122"/>
      <c r="P334" s="32"/>
      <c r="Q334" s="32"/>
    </row>
    <row r="335" spans="1:17">
      <c r="A335" s="71"/>
      <c r="B335" s="71"/>
      <c r="C335" s="71"/>
      <c r="D335" s="72"/>
      <c r="E335" s="72"/>
      <c r="F335" s="32"/>
      <c r="G335" s="32"/>
      <c r="H335" s="32"/>
      <c r="I335" s="32"/>
      <c r="J335" s="32"/>
      <c r="K335" s="32"/>
      <c r="L335" s="32"/>
      <c r="M335" s="32"/>
      <c r="N335" s="32"/>
      <c r="O335" s="122"/>
      <c r="P335" s="32"/>
      <c r="Q335" s="32"/>
    </row>
    <row r="336" spans="1:17">
      <c r="A336" s="71"/>
      <c r="B336" s="71"/>
      <c r="C336" s="71"/>
      <c r="D336" s="72"/>
      <c r="E336" s="72"/>
      <c r="F336" s="32"/>
      <c r="G336" s="32"/>
      <c r="H336" s="32"/>
      <c r="I336" s="32"/>
      <c r="J336" s="32"/>
      <c r="K336" s="32"/>
      <c r="L336" s="32"/>
      <c r="M336" s="32"/>
      <c r="N336" s="32"/>
      <c r="O336" s="122"/>
      <c r="P336" s="32"/>
      <c r="Q336" s="32"/>
    </row>
    <row r="337" spans="1:17">
      <c r="A337" s="71"/>
      <c r="B337" s="71"/>
      <c r="C337" s="71"/>
      <c r="D337" s="72"/>
      <c r="E337" s="72"/>
      <c r="F337" s="32"/>
      <c r="G337" s="32"/>
      <c r="H337" s="32"/>
      <c r="I337" s="32"/>
      <c r="J337" s="32"/>
      <c r="K337" s="32"/>
      <c r="L337" s="32"/>
      <c r="M337" s="32"/>
      <c r="N337" s="32"/>
      <c r="O337" s="122"/>
      <c r="P337" s="32"/>
      <c r="Q337" s="32"/>
    </row>
    <row r="338" spans="1:17">
      <c r="A338" s="71"/>
      <c r="B338" s="71"/>
      <c r="C338" s="71"/>
      <c r="D338" s="72"/>
      <c r="E338" s="72"/>
      <c r="F338" s="32"/>
      <c r="G338" s="32"/>
      <c r="H338" s="32"/>
      <c r="I338" s="32"/>
      <c r="J338" s="32"/>
      <c r="K338" s="32"/>
      <c r="L338" s="32"/>
      <c r="M338" s="32"/>
      <c r="N338" s="32"/>
      <c r="O338" s="122"/>
      <c r="P338" s="32"/>
      <c r="Q338" s="32"/>
    </row>
    <row r="339" spans="1:17">
      <c r="A339" s="71"/>
      <c r="B339" s="71"/>
      <c r="C339" s="71"/>
      <c r="D339" s="72"/>
      <c r="E339" s="72"/>
      <c r="F339" s="32"/>
      <c r="G339" s="32"/>
      <c r="H339" s="32"/>
      <c r="I339" s="32"/>
      <c r="J339" s="32"/>
      <c r="K339" s="32"/>
      <c r="L339" s="32"/>
      <c r="M339" s="32"/>
      <c r="N339" s="32"/>
      <c r="O339" s="122"/>
      <c r="P339" s="32"/>
      <c r="Q339" s="32"/>
    </row>
    <row r="340" spans="1:17">
      <c r="A340" s="71"/>
      <c r="B340" s="71"/>
      <c r="C340" s="71"/>
      <c r="D340" s="72"/>
      <c r="E340" s="72"/>
      <c r="F340" s="32"/>
      <c r="G340" s="32"/>
      <c r="H340" s="32"/>
      <c r="I340" s="32"/>
      <c r="J340" s="32"/>
      <c r="K340" s="32"/>
      <c r="L340" s="32"/>
      <c r="M340" s="32"/>
      <c r="N340" s="32"/>
      <c r="O340" s="122"/>
      <c r="P340" s="32"/>
      <c r="Q340" s="32"/>
    </row>
    <row r="341" spans="1:17">
      <c r="A341" s="71"/>
      <c r="B341" s="71"/>
      <c r="C341" s="71"/>
      <c r="D341" s="72"/>
      <c r="E341" s="72"/>
      <c r="F341" s="32"/>
      <c r="G341" s="32"/>
      <c r="H341" s="32"/>
      <c r="I341" s="32"/>
      <c r="J341" s="32"/>
      <c r="K341" s="32"/>
      <c r="L341" s="32"/>
      <c r="M341" s="32"/>
      <c r="N341" s="32"/>
      <c r="O341" s="122"/>
      <c r="P341" s="32"/>
      <c r="Q341" s="32"/>
    </row>
    <row r="342" spans="1:17">
      <c r="A342" s="71"/>
      <c r="B342" s="71"/>
      <c r="C342" s="71"/>
      <c r="D342" s="72"/>
      <c r="E342" s="72"/>
      <c r="F342" s="32"/>
      <c r="G342" s="32"/>
      <c r="H342" s="32"/>
      <c r="I342" s="32"/>
      <c r="J342" s="32"/>
      <c r="K342" s="32"/>
      <c r="L342" s="32"/>
      <c r="M342" s="32"/>
      <c r="N342" s="32"/>
      <c r="O342" s="122"/>
      <c r="P342" s="32"/>
      <c r="Q342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U2538"/>
  <sheetViews>
    <sheetView workbookViewId="0">
      <selection activeCell="H30" sqref="H30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9.42578125" style="9" customWidth="1"/>
    <col min="5" max="5" width="16.42578125" style="10" customWidth="1"/>
    <col min="6" max="6" width="11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" style="9" customWidth="1"/>
    <col min="14" max="14" width="7.140625" style="9" bestFit="1" customWidth="1"/>
    <col min="15" max="15" width="7" style="9" bestFit="1" customWidth="1"/>
    <col min="16" max="16" width="15.28515625" style="9" customWidth="1"/>
    <col min="17" max="18" width="10.42578125" style="11" customWidth="1"/>
    <col min="19" max="19" width="8.140625" style="11" customWidth="1"/>
  </cols>
  <sheetData>
    <row r="1" spans="1:21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R1"/>
      <c r="S1"/>
      <c r="T1" s="7" t="s">
        <v>13</v>
      </c>
      <c r="U1" s="7" t="s">
        <v>134</v>
      </c>
    </row>
    <row r="2" spans="1:21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  <c r="S2"/>
      <c r="T2">
        <v>-50000</v>
      </c>
      <c r="U2" s="38">
        <f t="shared" ref="U2:U32" si="0">C$15+C$16*T2+C$17*SIN(RADIANS(C$18)*T2+RADIANS(C$19))</f>
        <v>-2.4116646712860732E-3</v>
      </c>
    </row>
    <row r="3" spans="1:21" ht="13.5" thickBot="1">
      <c r="A3" s="87" t="s">
        <v>126</v>
      </c>
      <c r="C3"/>
      <c r="D3"/>
      <c r="E3"/>
      <c r="G3"/>
      <c r="H3"/>
      <c r="I3"/>
      <c r="J3"/>
      <c r="K3"/>
      <c r="L3"/>
      <c r="M3"/>
      <c r="N3"/>
      <c r="O3"/>
      <c r="P3"/>
      <c r="Q3"/>
      <c r="R3"/>
      <c r="S3"/>
      <c r="T3">
        <v>-47000</v>
      </c>
      <c r="U3" s="38">
        <f t="shared" si="0"/>
        <v>-1.2245417502814967E-2</v>
      </c>
    </row>
    <row r="4" spans="1:21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F25</v>
      </c>
      <c r="G4" s="34" t="str">
        <f>"G"&amp;E5</f>
        <v>G25</v>
      </c>
      <c r="H4"/>
      <c r="I4"/>
      <c r="J4"/>
      <c r="K4"/>
      <c r="L4"/>
      <c r="M4"/>
      <c r="N4"/>
      <c r="O4"/>
      <c r="P4"/>
      <c r="Q4"/>
      <c r="R4"/>
      <c r="S4"/>
      <c r="T4">
        <v>-44000</v>
      </c>
      <c r="U4" s="38">
        <f t="shared" si="0"/>
        <v>-1.8576008529944024E-2</v>
      </c>
    </row>
    <row r="5" spans="1:21" ht="13.5" thickTop="1">
      <c r="A5" s="35" t="s">
        <v>48</v>
      </c>
      <c r="C5"/>
      <c r="D5"/>
      <c r="E5" s="36">
        <v>25</v>
      </c>
      <c r="G5"/>
      <c r="H5"/>
      <c r="I5"/>
      <c r="J5"/>
      <c r="K5"/>
      <c r="L5"/>
      <c r="M5"/>
      <c r="N5"/>
      <c r="O5"/>
      <c r="P5"/>
      <c r="Q5"/>
      <c r="R5"/>
      <c r="S5"/>
      <c r="T5">
        <v>-41000</v>
      </c>
      <c r="U5" s="38">
        <f t="shared" si="0"/>
        <v>-1.9606286523095484E-2</v>
      </c>
    </row>
    <row r="6" spans="1:21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S6"/>
      <c r="T6">
        <v>-38000</v>
      </c>
      <c r="U6" s="38">
        <f t="shared" si="0"/>
        <v>-1.504370111303514E-2</v>
      </c>
    </row>
    <row r="7" spans="1:21">
      <c r="A7" t="s">
        <v>5</v>
      </c>
      <c r="C7" s="9">
        <v>44788.595000000001</v>
      </c>
      <c r="D7" s="34" t="s">
        <v>135</v>
      </c>
      <c r="E7"/>
      <c r="F7" s="9">
        <v>44788.595000000001</v>
      </c>
      <c r="G7"/>
      <c r="H7"/>
      <c r="I7"/>
      <c r="J7"/>
      <c r="K7"/>
      <c r="L7"/>
      <c r="M7"/>
      <c r="N7"/>
      <c r="O7"/>
      <c r="P7"/>
      <c r="Q7"/>
      <c r="R7"/>
      <c r="S7"/>
      <c r="T7">
        <v>-35000</v>
      </c>
      <c r="U7" s="38">
        <f t="shared" si="0"/>
        <v>-6.1833491193481098E-3</v>
      </c>
    </row>
    <row r="8" spans="1:21">
      <c r="A8" t="s">
        <v>6</v>
      </c>
      <c r="C8" s="12">
        <v>0.35825796999999998</v>
      </c>
      <c r="D8" s="34" t="s">
        <v>135</v>
      </c>
      <c r="E8"/>
      <c r="F8" s="12">
        <v>0.35825796999999998</v>
      </c>
      <c r="G8"/>
      <c r="H8"/>
      <c r="I8"/>
      <c r="J8"/>
      <c r="K8"/>
      <c r="L8"/>
      <c r="M8"/>
      <c r="N8"/>
      <c r="O8"/>
      <c r="P8"/>
      <c r="Q8"/>
      <c r="R8"/>
      <c r="S8"/>
      <c r="T8">
        <v>-32000</v>
      </c>
      <c r="U8" s="38">
        <f t="shared" si="0"/>
        <v>4.459664827930844E-3</v>
      </c>
    </row>
    <row r="9" spans="1:21">
      <c r="G9"/>
      <c r="H9"/>
      <c r="I9"/>
      <c r="J9"/>
      <c r="K9"/>
      <c r="L9"/>
      <c r="M9"/>
      <c r="N9"/>
      <c r="O9"/>
      <c r="P9"/>
      <c r="Q9"/>
      <c r="R9"/>
      <c r="S9"/>
      <c r="T9">
        <v>-29000</v>
      </c>
      <c r="U9" s="38">
        <f t="shared" si="0"/>
        <v>1.3864191513875064E-2</v>
      </c>
    </row>
    <row r="10" spans="1:21">
      <c r="A10" s="16"/>
      <c r="B10" s="16"/>
      <c r="C10" s="4"/>
      <c r="D10" s="4"/>
      <c r="E10" s="16"/>
      <c r="G10"/>
      <c r="H10"/>
      <c r="I10"/>
      <c r="J10"/>
      <c r="K10"/>
      <c r="L10"/>
      <c r="M10"/>
      <c r="N10"/>
      <c r="O10"/>
      <c r="P10"/>
      <c r="Q10"/>
      <c r="R10"/>
      <c r="S10"/>
      <c r="T10">
        <v>-26000</v>
      </c>
      <c r="U10" s="38">
        <f t="shared" si="0"/>
        <v>1.9360651335953161E-2</v>
      </c>
    </row>
    <row r="11" spans="1:21">
      <c r="A11" s="16"/>
      <c r="B11" s="16"/>
      <c r="C11" s="32"/>
      <c r="D11" s="89"/>
      <c r="E11" s="16"/>
      <c r="F11" s="38"/>
      <c r="H11"/>
      <c r="I11"/>
      <c r="J11"/>
      <c r="K11"/>
      <c r="L11"/>
      <c r="M11"/>
      <c r="N11"/>
      <c r="O11"/>
      <c r="P11"/>
      <c r="Q11"/>
      <c r="R11"/>
      <c r="S11"/>
      <c r="T11">
        <v>-23000</v>
      </c>
      <c r="U11" s="38">
        <f t="shared" si="0"/>
        <v>1.9388848369155966E-2</v>
      </c>
    </row>
    <row r="12" spans="1:21">
      <c r="A12" s="16"/>
      <c r="B12" s="16"/>
      <c r="C12" s="32"/>
      <c r="D12" s="89"/>
      <c r="E12" s="16"/>
      <c r="F12" s="38"/>
      <c r="G12"/>
      <c r="H12"/>
      <c r="I12"/>
      <c r="J12"/>
      <c r="K12"/>
      <c r="L12"/>
      <c r="M12"/>
      <c r="N12"/>
      <c r="O12"/>
      <c r="P12"/>
      <c r="Q12"/>
      <c r="R12"/>
      <c r="S12"/>
      <c r="T12">
        <v>-20000</v>
      </c>
      <c r="U12" s="38">
        <f t="shared" si="0"/>
        <v>1.3940863477408144E-2</v>
      </c>
    </row>
    <row r="13" spans="1:21">
      <c r="A13" s="16"/>
      <c r="B13" s="16"/>
      <c r="C13" s="4"/>
      <c r="D13" s="89"/>
      <c r="E13" s="16"/>
      <c r="F13" s="38"/>
      <c r="G13"/>
      <c r="H13"/>
      <c r="I13"/>
      <c r="J13"/>
      <c r="K13"/>
      <c r="L13"/>
      <c r="M13"/>
      <c r="N13"/>
      <c r="O13"/>
      <c r="P13"/>
      <c r="Q13"/>
      <c r="R13"/>
      <c r="S13"/>
      <c r="T13">
        <v>-17000</v>
      </c>
      <c r="U13" s="38">
        <f t="shared" si="0"/>
        <v>4.5633023202190422E-3</v>
      </c>
    </row>
    <row r="14" spans="1:21" ht="13.5" thickBot="1">
      <c r="A14" s="16"/>
      <c r="B14" s="16"/>
      <c r="C14" s="16"/>
      <c r="D14" s="16"/>
      <c r="E14" s="16"/>
      <c r="G14"/>
      <c r="H14"/>
      <c r="I14"/>
      <c r="J14"/>
      <c r="K14"/>
      <c r="L14"/>
      <c r="M14"/>
      <c r="N14"/>
      <c r="O14"/>
      <c r="P14"/>
      <c r="Q14"/>
      <c r="R14"/>
      <c r="S14"/>
      <c r="T14">
        <v>-14000</v>
      </c>
      <c r="U14" s="38">
        <f t="shared" si="0"/>
        <v>-6.0817398874989381E-3</v>
      </c>
    </row>
    <row r="15" spans="1:21">
      <c r="A15" s="16" t="s">
        <v>136</v>
      </c>
      <c r="C15" s="90">
        <v>1E-4</v>
      </c>
      <c r="E15" s="21"/>
      <c r="G15"/>
      <c r="H15"/>
      <c r="I15"/>
      <c r="J15"/>
      <c r="K15"/>
      <c r="L15"/>
      <c r="M15"/>
      <c r="N15"/>
      <c r="O15"/>
      <c r="P15"/>
      <c r="Q15"/>
      <c r="R15"/>
      <c r="S15"/>
      <c r="T15">
        <v>-11000</v>
      </c>
      <c r="U15" s="38">
        <f t="shared" si="0"/>
        <v>-1.4972367846032748E-2</v>
      </c>
    </row>
    <row r="16" spans="1:21">
      <c r="A16" s="16" t="s">
        <v>137</v>
      </c>
      <c r="C16" s="91">
        <v>1E-10</v>
      </c>
      <c r="E16" s="21"/>
      <c r="G16"/>
      <c r="H16"/>
      <c r="I16"/>
      <c r="J16"/>
      <c r="K16"/>
      <c r="L16"/>
      <c r="M16"/>
      <c r="N16"/>
      <c r="O16"/>
      <c r="P16"/>
      <c r="Q16"/>
      <c r="R16"/>
      <c r="S16"/>
      <c r="T16">
        <v>-8000</v>
      </c>
      <c r="U16" s="38">
        <f t="shared" si="0"/>
        <v>-1.9584712159384836E-2</v>
      </c>
    </row>
    <row r="17" spans="1:21">
      <c r="A17" s="16" t="s">
        <v>70</v>
      </c>
      <c r="C17" s="91">
        <v>0.02</v>
      </c>
      <c r="E17" s="24"/>
      <c r="G17"/>
      <c r="H17"/>
      <c r="I17"/>
      <c r="J17"/>
      <c r="K17"/>
      <c r="L17"/>
      <c r="M17"/>
      <c r="N17"/>
      <c r="O17"/>
      <c r="P17"/>
      <c r="Q17"/>
      <c r="R17"/>
      <c r="S17"/>
      <c r="T17">
        <v>-5000</v>
      </c>
      <c r="U17" s="38">
        <f t="shared" si="0"/>
        <v>-1.8609380616597351E-2</v>
      </c>
    </row>
    <row r="18" spans="1:21">
      <c r="A18" s="16" t="s">
        <v>138</v>
      </c>
      <c r="C18" s="91">
        <v>1.03E-2</v>
      </c>
      <c r="E18" s="27"/>
      <c r="G18"/>
      <c r="H18"/>
      <c r="I18"/>
      <c r="J18"/>
      <c r="K18"/>
      <c r="L18"/>
      <c r="M18"/>
      <c r="N18"/>
      <c r="O18"/>
      <c r="P18"/>
      <c r="Q18"/>
      <c r="R18"/>
      <c r="S18"/>
      <c r="T18">
        <v>-2000</v>
      </c>
      <c r="U18" s="38">
        <f t="shared" si="0"/>
        <v>-1.2323155605566212E-2</v>
      </c>
    </row>
    <row r="19" spans="1:21">
      <c r="A19" s="69" t="s">
        <v>139</v>
      </c>
      <c r="B19" s="16"/>
      <c r="C19" s="91">
        <v>342.2</v>
      </c>
      <c r="D19" s="16"/>
      <c r="E19" s="27"/>
      <c r="G19"/>
      <c r="H19"/>
      <c r="I19"/>
      <c r="J19"/>
      <c r="K19"/>
      <c r="L19"/>
      <c r="M19"/>
      <c r="N19"/>
      <c r="O19"/>
      <c r="P19"/>
      <c r="Q19"/>
      <c r="R19"/>
      <c r="S19"/>
      <c r="T19">
        <v>1000</v>
      </c>
      <c r="U19" s="38">
        <f t="shared" si="0"/>
        <v>-2.5104238444010338E-3</v>
      </c>
    </row>
    <row r="20" spans="1:21" ht="15.75" thickBot="1">
      <c r="A20" s="22" t="s">
        <v>140</v>
      </c>
      <c r="B20" s="16"/>
      <c r="C20" s="92">
        <v>0</v>
      </c>
      <c r="D20" s="16"/>
      <c r="E20" s="101" t="s">
        <v>146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>
        <v>4000</v>
      </c>
      <c r="U20" s="38">
        <f t="shared" si="0"/>
        <v>8.0433578126955993E-3</v>
      </c>
    </row>
    <row r="21" spans="1:21">
      <c r="A21" s="22" t="s">
        <v>141</v>
      </c>
      <c r="B21" s="16"/>
      <c r="C21" s="93">
        <f>SUM(R41:R59)</f>
        <v>3.533277226208513E-2</v>
      </c>
      <c r="D21" s="16"/>
      <c r="E21" s="27"/>
      <c r="G21"/>
      <c r="H21"/>
      <c r="I21"/>
      <c r="J21"/>
      <c r="K21"/>
      <c r="L21"/>
      <c r="M21"/>
      <c r="N21"/>
      <c r="O21"/>
      <c r="P21"/>
      <c r="Q21"/>
      <c r="R21"/>
      <c r="S21"/>
      <c r="T21">
        <v>7000</v>
      </c>
      <c r="U21" s="38">
        <f t="shared" si="0"/>
        <v>1.6342370537836114E-2</v>
      </c>
    </row>
    <row r="22" spans="1:21">
      <c r="A22" s="22"/>
      <c r="B22" s="16"/>
      <c r="C22" s="16"/>
      <c r="D22" s="16"/>
      <c r="E22" s="27"/>
      <c r="G22"/>
      <c r="H22"/>
      <c r="I22"/>
      <c r="J22"/>
      <c r="K22"/>
      <c r="L22"/>
      <c r="M22"/>
      <c r="N22"/>
      <c r="O22"/>
      <c r="P22"/>
      <c r="Q22"/>
      <c r="R22"/>
      <c r="S22"/>
      <c r="T22">
        <v>10000</v>
      </c>
      <c r="U22" s="38">
        <f t="shared" si="0"/>
        <v>2.0030857184990085E-2</v>
      </c>
    </row>
    <row r="23" spans="1:21">
      <c r="A23" s="22"/>
      <c r="B23" s="16"/>
      <c r="C23" s="16"/>
      <c r="D23" s="16"/>
      <c r="E23" s="27"/>
      <c r="G23"/>
      <c r="H23"/>
      <c r="I23"/>
      <c r="J23"/>
      <c r="K23"/>
      <c r="L23"/>
      <c r="M23"/>
      <c r="N23"/>
      <c r="O23"/>
      <c r="P23"/>
      <c r="Q23"/>
      <c r="R23"/>
      <c r="S23"/>
      <c r="T23">
        <v>13000</v>
      </c>
      <c r="U23" s="38">
        <f t="shared" si="0"/>
        <v>1.8061851515212314E-2</v>
      </c>
    </row>
    <row r="24" spans="1:21">
      <c r="A24" s="22"/>
      <c r="B24" s="16"/>
      <c r="C24" s="16"/>
      <c r="D24" s="16"/>
      <c r="E24" s="27"/>
      <c r="G24"/>
      <c r="H24"/>
      <c r="I24"/>
      <c r="J24"/>
      <c r="K24"/>
      <c r="L24"/>
      <c r="M24"/>
      <c r="N24"/>
      <c r="O24"/>
      <c r="P24"/>
      <c r="Q24"/>
      <c r="R24"/>
      <c r="S24"/>
      <c r="T24">
        <v>16000</v>
      </c>
      <c r="U24" s="38">
        <f t="shared" si="0"/>
        <v>1.0994380700300543E-2</v>
      </c>
    </row>
    <row r="25" spans="1:21">
      <c r="A25" s="22"/>
      <c r="B25" s="16"/>
      <c r="C25" s="16"/>
      <c r="D25" s="16"/>
      <c r="E25" s="27"/>
      <c r="G25"/>
      <c r="H25"/>
      <c r="I25"/>
      <c r="J25"/>
      <c r="K25"/>
      <c r="L25"/>
      <c r="M25"/>
      <c r="N25"/>
      <c r="O25"/>
      <c r="P25"/>
      <c r="Q25"/>
      <c r="R25"/>
      <c r="S25"/>
      <c r="T25">
        <v>19000</v>
      </c>
      <c r="U25" s="38">
        <f t="shared" si="0"/>
        <v>8.3477417413112276E-4</v>
      </c>
    </row>
    <row r="26" spans="1:21">
      <c r="A26" s="22"/>
      <c r="B26" s="16"/>
      <c r="C26" s="16"/>
      <c r="D26" s="16"/>
      <c r="E26" s="27"/>
      <c r="G26"/>
      <c r="H26"/>
      <c r="I26"/>
      <c r="J26"/>
      <c r="K26"/>
      <c r="L26"/>
      <c r="M26"/>
      <c r="N26"/>
      <c r="O26"/>
      <c r="P26"/>
      <c r="Q26"/>
      <c r="R26"/>
      <c r="S26"/>
      <c r="T26">
        <v>22000</v>
      </c>
      <c r="U26" s="38">
        <f t="shared" si="0"/>
        <v>-9.5328734820343108E-3</v>
      </c>
    </row>
    <row r="27" spans="1:21">
      <c r="A27" s="22"/>
      <c r="B27" s="16"/>
      <c r="C27" s="16"/>
      <c r="D27" s="16"/>
      <c r="E27" s="27"/>
      <c r="G27"/>
      <c r="H27"/>
      <c r="I27"/>
      <c r="J27"/>
      <c r="K27"/>
      <c r="L27"/>
      <c r="M27"/>
      <c r="N27"/>
      <c r="O27"/>
      <c r="P27"/>
      <c r="Q27"/>
      <c r="R27"/>
      <c r="S27"/>
      <c r="T27">
        <v>25000</v>
      </c>
      <c r="U27" s="38">
        <f t="shared" si="0"/>
        <v>-1.716541101213544E-2</v>
      </c>
    </row>
    <row r="28" spans="1:21">
      <c r="A28" s="18" t="s">
        <v>21</v>
      </c>
      <c r="B28" s="16"/>
      <c r="C28" s="19">
        <f>(C7+C11)+(C8+C12)*INT(MAX(F41:F3512))</f>
        <v>56093.783501320002</v>
      </c>
      <c r="D28" s="20"/>
      <c r="E28" s="27"/>
      <c r="G28"/>
      <c r="H28"/>
      <c r="I28"/>
      <c r="J28"/>
      <c r="K28"/>
      <c r="L28"/>
      <c r="M28"/>
      <c r="N28"/>
      <c r="O28"/>
      <c r="P28"/>
      <c r="Q28"/>
      <c r="R28"/>
      <c r="S28"/>
      <c r="T28">
        <v>28000</v>
      </c>
      <c r="U28" s="38">
        <f t="shared" si="0"/>
        <v>-1.9896103387310245E-2</v>
      </c>
    </row>
    <row r="29" spans="1:21">
      <c r="A29" s="22" t="s">
        <v>7</v>
      </c>
      <c r="B29" s="16"/>
      <c r="C29" s="23">
        <f>+C8+C12</f>
        <v>0.35825796999999998</v>
      </c>
      <c r="D29" s="20"/>
      <c r="E29" s="27"/>
      <c r="G29"/>
      <c r="H29"/>
      <c r="I29"/>
      <c r="J29"/>
      <c r="K29"/>
      <c r="L29"/>
      <c r="M29"/>
      <c r="N29"/>
      <c r="O29"/>
      <c r="P29"/>
      <c r="Q29"/>
      <c r="R29"/>
      <c r="S29"/>
      <c r="T29">
        <v>31000</v>
      </c>
      <c r="U29" s="38">
        <f t="shared" si="0"/>
        <v>-1.6949703287081837E-2</v>
      </c>
    </row>
    <row r="30" spans="1:21" ht="13.5" thickBot="1">
      <c r="A30" s="20" t="s">
        <v>43</v>
      </c>
      <c r="B30" s="16"/>
      <c r="C30" s="16">
        <f>COUNT(C41:C2170)</f>
        <v>82</v>
      </c>
      <c r="D30" s="20"/>
      <c r="E30" s="27"/>
      <c r="G30"/>
      <c r="H30"/>
      <c r="I30"/>
      <c r="J30"/>
      <c r="K30"/>
      <c r="L30"/>
      <c r="M30"/>
      <c r="N30"/>
      <c r="O30"/>
      <c r="P30"/>
      <c r="Q30"/>
      <c r="R30"/>
      <c r="S30"/>
      <c r="T30">
        <v>34000</v>
      </c>
      <c r="U30" s="38">
        <f t="shared" si="0"/>
        <v>-9.1625207023972154E-3</v>
      </c>
    </row>
    <row r="31" spans="1:21" ht="14.25" thickTop="1" thickBot="1">
      <c r="A31" s="22" t="s">
        <v>8</v>
      </c>
      <c r="B31" s="16"/>
      <c r="C31" s="25">
        <f>+C28</f>
        <v>56093.783501320002</v>
      </c>
      <c r="D31" s="26">
        <f>+C29</f>
        <v>0.35825796999999998</v>
      </c>
      <c r="E31" s="27"/>
      <c r="G31"/>
      <c r="H31"/>
      <c r="I31"/>
      <c r="J31"/>
      <c r="K31"/>
      <c r="L31"/>
      <c r="M31"/>
      <c r="N31"/>
      <c r="O31"/>
      <c r="P31"/>
      <c r="Q31"/>
      <c r="R31"/>
      <c r="S31"/>
      <c r="T31">
        <v>37000</v>
      </c>
      <c r="U31" s="38">
        <f t="shared" si="0"/>
        <v>1.2549805391913352E-3</v>
      </c>
    </row>
    <row r="32" spans="1:21" ht="13.5" thickTop="1">
      <c r="A32" s="22"/>
      <c r="B32" s="16"/>
      <c r="C32" s="16"/>
      <c r="D32" s="16"/>
      <c r="E32" s="27"/>
      <c r="G32"/>
      <c r="H32"/>
      <c r="I32"/>
      <c r="J32"/>
      <c r="K32"/>
      <c r="L32"/>
      <c r="M32"/>
      <c r="N32"/>
      <c r="O32"/>
      <c r="P32"/>
      <c r="Q32"/>
      <c r="R32"/>
      <c r="S32"/>
      <c r="T32">
        <v>40000</v>
      </c>
      <c r="U32" s="38">
        <f t="shared" si="0"/>
        <v>1.1345667557042607E-2</v>
      </c>
    </row>
    <row r="33" spans="1:21">
      <c r="A33" s="22"/>
      <c r="B33" s="16"/>
      <c r="C33" s="16"/>
      <c r="D33" s="16"/>
      <c r="E33" s="27"/>
      <c r="G33"/>
      <c r="H33"/>
      <c r="I33"/>
      <c r="J33"/>
      <c r="K33"/>
      <c r="L33"/>
      <c r="M33"/>
      <c r="N33"/>
      <c r="O33"/>
      <c r="P33"/>
      <c r="Q33"/>
      <c r="R33"/>
      <c r="S33"/>
      <c r="U33" s="38"/>
    </row>
    <row r="34" spans="1:21">
      <c r="A34" s="22"/>
      <c r="B34" s="16"/>
      <c r="C34" s="16"/>
      <c r="D34" s="16"/>
      <c r="E34" s="27"/>
      <c r="G34"/>
      <c r="H34"/>
      <c r="I34"/>
      <c r="J34"/>
      <c r="K34"/>
      <c r="L34"/>
      <c r="M34"/>
      <c r="N34"/>
      <c r="O34"/>
      <c r="P34"/>
      <c r="Q34"/>
      <c r="R34"/>
      <c r="S34"/>
      <c r="U34" s="38"/>
    </row>
    <row r="35" spans="1:21">
      <c r="A35" s="22"/>
      <c r="B35" s="16"/>
      <c r="C35" s="16"/>
      <c r="D35" s="16"/>
      <c r="E35" s="27"/>
      <c r="G35"/>
      <c r="H35"/>
      <c r="I35"/>
      <c r="J35"/>
      <c r="K35"/>
      <c r="L35"/>
      <c r="M35"/>
      <c r="N35"/>
      <c r="O35"/>
      <c r="P35"/>
      <c r="Q35"/>
      <c r="R35"/>
      <c r="S35"/>
      <c r="U35" s="38"/>
    </row>
    <row r="36" spans="1:21">
      <c r="A36" s="22"/>
      <c r="B36" s="16"/>
      <c r="C36" s="16"/>
      <c r="D36" s="16"/>
      <c r="E36" s="27"/>
      <c r="G36"/>
      <c r="H36"/>
      <c r="I36"/>
      <c r="J36"/>
      <c r="K36"/>
      <c r="L36"/>
      <c r="M36"/>
      <c r="N36"/>
      <c r="O36"/>
      <c r="P36"/>
      <c r="Q36"/>
      <c r="R36"/>
      <c r="S36"/>
      <c r="U36" s="38"/>
    </row>
    <row r="37" spans="1:21">
      <c r="A37" s="22"/>
      <c r="B37" s="16"/>
      <c r="C37" s="16"/>
      <c r="D37" s="16"/>
      <c r="E37" s="27"/>
      <c r="G37"/>
      <c r="H37"/>
      <c r="I37"/>
      <c r="J37"/>
      <c r="K37"/>
      <c r="L37"/>
      <c r="M37"/>
      <c r="N37"/>
      <c r="O37"/>
      <c r="P37"/>
      <c r="Q37"/>
      <c r="R37"/>
      <c r="S37"/>
      <c r="U37" s="38"/>
    </row>
    <row r="38" spans="1:21">
      <c r="A38" s="22"/>
      <c r="B38" s="16"/>
      <c r="C38" s="16"/>
      <c r="D38" s="16"/>
      <c r="E38" s="27"/>
      <c r="G38"/>
      <c r="H38"/>
      <c r="I38"/>
      <c r="J38"/>
      <c r="K38"/>
      <c r="L38"/>
      <c r="M38"/>
      <c r="N38"/>
      <c r="O38"/>
      <c r="P38"/>
      <c r="Q38"/>
      <c r="R38"/>
      <c r="S38"/>
      <c r="U38" s="38"/>
    </row>
    <row r="39" spans="1:21">
      <c r="G39"/>
      <c r="H39"/>
      <c r="I39"/>
      <c r="J39"/>
      <c r="K39"/>
      <c r="L39"/>
      <c r="M39"/>
      <c r="N39"/>
      <c r="O39"/>
      <c r="P39"/>
      <c r="Q39"/>
      <c r="R39"/>
      <c r="S39" s="23" t="s">
        <v>148</v>
      </c>
      <c r="U39" s="38"/>
    </row>
    <row r="40" spans="1:21" ht="13.5" thickBot="1">
      <c r="A40" s="5" t="s">
        <v>9</v>
      </c>
      <c r="B40" s="5" t="s">
        <v>10</v>
      </c>
      <c r="C40" s="5" t="s">
        <v>11</v>
      </c>
      <c r="D40" s="5" t="s">
        <v>16</v>
      </c>
      <c r="E40" s="5" t="s">
        <v>12</v>
      </c>
      <c r="F40" s="5" t="s">
        <v>13</v>
      </c>
      <c r="G40" s="5" t="s">
        <v>14</v>
      </c>
      <c r="H40" s="8" t="s">
        <v>195</v>
      </c>
      <c r="I40" s="8" t="s">
        <v>181</v>
      </c>
      <c r="J40" s="8" t="s">
        <v>179</v>
      </c>
      <c r="K40" s="8" t="s">
        <v>213</v>
      </c>
      <c r="L40" s="8" t="s">
        <v>432</v>
      </c>
      <c r="M40" s="8" t="s">
        <v>147</v>
      </c>
      <c r="N40" s="8" t="s">
        <v>148</v>
      </c>
      <c r="O40" s="8" t="s">
        <v>26</v>
      </c>
      <c r="P40" s="7" t="s">
        <v>134</v>
      </c>
      <c r="Q40" s="5" t="s">
        <v>18</v>
      </c>
      <c r="R40" s="4"/>
      <c r="S40" s="156" t="s">
        <v>194</v>
      </c>
      <c r="U40" s="38"/>
    </row>
    <row r="41" spans="1:21">
      <c r="A41" s="73" t="s">
        <v>142</v>
      </c>
      <c r="B41" s="37"/>
      <c r="C41" s="76">
        <v>28731.308000000001</v>
      </c>
      <c r="D41" s="76"/>
      <c r="E41" s="10">
        <f t="shared" ref="E41:E72" si="1">+(C41-C$7)/C$8</f>
        <v>-44820.459960737237</v>
      </c>
      <c r="F41">
        <f t="shared" ref="F41:F72" si="2">ROUND(2*E41,0)/2</f>
        <v>-44820.5</v>
      </c>
      <c r="G41" s="9">
        <f t="shared" ref="G41:G72" si="3">+C41-(C$7+F41*C$8)</f>
        <v>1.4344384999276372E-2</v>
      </c>
      <c r="H41" s="9">
        <f>G41</f>
        <v>1.4344384999276372E-2</v>
      </c>
      <c r="P41" s="9">
        <f t="shared" ref="P41:P66" si="4">C$15+C$16*F41+C$17*SIN(RADIANS(C$18)*F41+RADIANS(C$19))</f>
        <v>-1.731998638198359E-2</v>
      </c>
      <c r="Q41" s="11">
        <f t="shared" ref="Q41:Q72" si="5">+C41-15018.5</f>
        <v>13712.808000000001</v>
      </c>
      <c r="R41">
        <f t="shared" ref="R41:R66" si="6">+(P41-G41)^2</f>
        <v>1.002632414970355E-3</v>
      </c>
      <c r="S41"/>
      <c r="U41" s="38"/>
    </row>
    <row r="42" spans="1:21">
      <c r="A42" s="73" t="s">
        <v>142</v>
      </c>
      <c r="B42" s="37"/>
      <c r="C42" s="76">
        <v>28731.477999999999</v>
      </c>
      <c r="D42" s="76"/>
      <c r="E42" s="10">
        <f t="shared" si="1"/>
        <v>-44819.985442333644</v>
      </c>
      <c r="F42">
        <f t="shared" si="2"/>
        <v>-44820</v>
      </c>
      <c r="G42" s="9">
        <f t="shared" si="3"/>
        <v>5.2153999968140852E-3</v>
      </c>
      <c r="H42" s="9">
        <f>G42</f>
        <v>5.2153999968140852E-3</v>
      </c>
      <c r="P42" s="9">
        <f t="shared" si="4"/>
        <v>-1.7320870151797913E-2</v>
      </c>
      <c r="Q42" s="11">
        <f t="shared" si="5"/>
        <v>13712.977999999999</v>
      </c>
      <c r="R42">
        <f t="shared" si="6"/>
        <v>5.0788347221122031E-4</v>
      </c>
      <c r="S42"/>
      <c r="U42" s="38"/>
    </row>
    <row r="43" spans="1:21">
      <c r="A43" s="73" t="s">
        <v>142</v>
      </c>
      <c r="B43" s="37"/>
      <c r="C43" s="76">
        <v>29046.215</v>
      </c>
      <c r="D43" s="76"/>
      <c r="E43" s="10">
        <f t="shared" si="1"/>
        <v>-43941.464861200438</v>
      </c>
      <c r="F43">
        <f t="shared" si="2"/>
        <v>-43941.5</v>
      </c>
      <c r="G43" s="9">
        <f t="shared" si="3"/>
        <v>1.2588754998432705E-2</v>
      </c>
      <c r="H43" s="9">
        <f>G43</f>
        <v>1.2588754998432705E-2</v>
      </c>
      <c r="P43" s="9">
        <f t="shared" si="4"/>
        <v>-1.8650344191497494E-2</v>
      </c>
      <c r="Q43" s="11">
        <f t="shared" si="5"/>
        <v>14027.715</v>
      </c>
      <c r="R43">
        <f t="shared" si="6"/>
        <v>9.7588131819829763E-4</v>
      </c>
      <c r="S43"/>
      <c r="U43" s="38"/>
    </row>
    <row r="44" spans="1:21">
      <c r="A44" s="73" t="s">
        <v>142</v>
      </c>
      <c r="B44" s="37"/>
      <c r="C44" s="76">
        <v>29046.404999999999</v>
      </c>
      <c r="D44" s="76"/>
      <c r="E44" s="10">
        <f t="shared" si="1"/>
        <v>-43940.934517102309</v>
      </c>
      <c r="F44">
        <f t="shared" si="2"/>
        <v>-43941</v>
      </c>
      <c r="G44" s="9">
        <f t="shared" si="3"/>
        <v>2.3459769996406976E-2</v>
      </c>
      <c r="H44" s="9">
        <f>G44</f>
        <v>2.3459769996406976E-2</v>
      </c>
      <c r="P44" s="9">
        <f t="shared" si="4"/>
        <v>-1.8650970614960242E-2</v>
      </c>
      <c r="Q44" s="11">
        <f t="shared" si="5"/>
        <v>14027.904999999999</v>
      </c>
      <c r="R44">
        <f t="shared" si="6"/>
        <v>1.773314474837852E-3</v>
      </c>
      <c r="S44"/>
      <c r="U44" s="38"/>
    </row>
    <row r="45" spans="1:21">
      <c r="A45" s="73" t="s">
        <v>31</v>
      </c>
      <c r="B45" s="37"/>
      <c r="C45" s="76">
        <v>29369.184000000001</v>
      </c>
      <c r="D45" s="76"/>
      <c r="E45" s="10">
        <f t="shared" si="1"/>
        <v>-43039.966424194281</v>
      </c>
      <c r="F45">
        <f t="shared" si="2"/>
        <v>-43040</v>
      </c>
      <c r="G45" s="9">
        <f t="shared" si="3"/>
        <v>1.2028799999825424E-2</v>
      </c>
      <c r="H45" s="9">
        <f>G45</f>
        <v>1.2028799999825424E-2</v>
      </c>
      <c r="P45" s="9">
        <f t="shared" si="4"/>
        <v>-1.9529350415280079E-2</v>
      </c>
      <c r="Q45" s="11">
        <f t="shared" si="5"/>
        <v>14350.684000000001</v>
      </c>
      <c r="R45">
        <f t="shared" si="6"/>
        <v>9.9591685762242328E-4</v>
      </c>
      <c r="S45" s="4"/>
      <c r="U45" s="38"/>
    </row>
    <row r="46" spans="1:21">
      <c r="A46" t="s">
        <v>127</v>
      </c>
      <c r="B46" s="4"/>
      <c r="C46" s="88">
        <v>29645.01</v>
      </c>
      <c r="D46" s="4"/>
      <c r="E46" s="10">
        <f t="shared" si="1"/>
        <v>-42270.057523074793</v>
      </c>
      <c r="F46">
        <f t="shared" si="2"/>
        <v>-42270</v>
      </c>
      <c r="G46" s="9">
        <f t="shared" si="3"/>
        <v>-2.0608100003300933E-2</v>
      </c>
      <c r="H46" s="9">
        <f>+G46</f>
        <v>-2.0608100003300933E-2</v>
      </c>
      <c r="P46" s="9">
        <f t="shared" si="4"/>
        <v>-1.9873411407919712E-2</v>
      </c>
      <c r="Q46" s="11">
        <f t="shared" si="5"/>
        <v>14626.509999999998</v>
      </c>
      <c r="R46">
        <f t="shared" si="6"/>
        <v>5.397673321832311E-7</v>
      </c>
      <c r="S46" s="4">
        <v>1</v>
      </c>
      <c r="U46" s="38"/>
    </row>
    <row r="47" spans="1:21">
      <c r="A47" s="73" t="s">
        <v>142</v>
      </c>
      <c r="B47" s="37"/>
      <c r="C47" s="76">
        <v>30493.286</v>
      </c>
      <c r="D47" s="76"/>
      <c r="E47" s="10">
        <f t="shared" si="1"/>
        <v>-39902.277679963416</v>
      </c>
      <c r="F47">
        <f t="shared" si="2"/>
        <v>-39902.5</v>
      </c>
      <c r="G47" s="9">
        <f t="shared" si="3"/>
        <v>7.9647924998425879E-2</v>
      </c>
      <c r="H47" s="9">
        <f t="shared" ref="H47:H53" si="7">G47</f>
        <v>7.9647924998425879E-2</v>
      </c>
      <c r="P47" s="9">
        <f t="shared" si="4"/>
        <v>-1.8549929742163525E-2</v>
      </c>
      <c r="Q47" s="11">
        <f t="shared" si="5"/>
        <v>15474.786</v>
      </c>
      <c r="R47">
        <f t="shared" si="6"/>
        <v>9.6428186756538949E-3</v>
      </c>
      <c r="S47"/>
      <c r="U47" s="38"/>
    </row>
    <row r="48" spans="1:21">
      <c r="A48" s="73" t="s">
        <v>143</v>
      </c>
      <c r="B48" s="37"/>
      <c r="C48" s="76">
        <v>30493.473000000002</v>
      </c>
      <c r="D48" s="76"/>
      <c r="E48" s="10">
        <f t="shared" si="1"/>
        <v>-39901.755709719451</v>
      </c>
      <c r="F48">
        <f t="shared" si="2"/>
        <v>-39902</v>
      </c>
      <c r="G48" s="9">
        <f t="shared" si="3"/>
        <v>8.7518939999426948E-2</v>
      </c>
      <c r="H48" s="9">
        <f t="shared" si="7"/>
        <v>8.7518939999426948E-2</v>
      </c>
      <c r="P48" s="9">
        <f t="shared" si="4"/>
        <v>-1.8549279403963382E-2</v>
      </c>
      <c r="Q48" s="11">
        <f t="shared" si="5"/>
        <v>15474.973000000002</v>
      </c>
      <c r="R48">
        <f t="shared" si="6"/>
        <v>1.1250467167405747E-2</v>
      </c>
      <c r="S48"/>
    </row>
    <row r="49" spans="1:19">
      <c r="A49" s="73" t="s">
        <v>144</v>
      </c>
      <c r="B49" s="37"/>
      <c r="C49" s="76">
        <v>30899.22</v>
      </c>
      <c r="D49" s="76"/>
      <c r="E49" s="10">
        <f t="shared" si="1"/>
        <v>-38769.200305578692</v>
      </c>
      <c r="F49">
        <f t="shared" si="2"/>
        <v>-38769</v>
      </c>
      <c r="G49" s="9">
        <f t="shared" si="3"/>
        <v>-7.1761070001230109E-2</v>
      </c>
      <c r="H49" s="9">
        <f t="shared" si="7"/>
        <v>-7.1761070001230109E-2</v>
      </c>
      <c r="P49" s="9">
        <f t="shared" si="4"/>
        <v>-1.6700197890266361E-2</v>
      </c>
      <c r="Q49" s="11">
        <f t="shared" si="5"/>
        <v>15880.720000000001</v>
      </c>
      <c r="R49">
        <f t="shared" si="6"/>
        <v>3.0316996376199058E-3</v>
      </c>
      <c r="S49"/>
    </row>
    <row r="50" spans="1:19">
      <c r="A50" s="73" t="s">
        <v>144</v>
      </c>
      <c r="B50" s="37"/>
      <c r="C50" s="76">
        <v>30899.399000000001</v>
      </c>
      <c r="D50" s="76"/>
      <c r="E50" s="10">
        <f t="shared" si="1"/>
        <v>-38768.700665612552</v>
      </c>
      <c r="F50">
        <f t="shared" si="2"/>
        <v>-38768.5</v>
      </c>
      <c r="G50" s="9">
        <f t="shared" si="3"/>
        <v>-7.1890055001858855E-2</v>
      </c>
      <c r="H50" s="9">
        <f t="shared" si="7"/>
        <v>-7.1890055001858855E-2</v>
      </c>
      <c r="P50" s="9">
        <f t="shared" si="4"/>
        <v>-1.6699221858988658E-2</v>
      </c>
      <c r="Q50" s="11">
        <f t="shared" si="5"/>
        <v>15880.899000000001</v>
      </c>
      <c r="R50">
        <f t="shared" si="6"/>
        <v>3.0460280630041393E-3</v>
      </c>
      <c r="S50"/>
    </row>
    <row r="51" spans="1:19">
      <c r="A51" s="73" t="s">
        <v>145</v>
      </c>
      <c r="B51" s="37"/>
      <c r="C51" s="76">
        <v>31256.240000000002</v>
      </c>
      <c r="D51" s="76"/>
      <c r="E51" s="10">
        <f t="shared" si="1"/>
        <v>-37772.655832332217</v>
      </c>
      <c r="F51">
        <f t="shared" si="2"/>
        <v>-37772.5</v>
      </c>
      <c r="G51" s="9">
        <f t="shared" si="3"/>
        <v>-5.5828175001806812E-2</v>
      </c>
      <c r="H51" s="9">
        <f t="shared" si="7"/>
        <v>-5.5828175001806812E-2</v>
      </c>
      <c r="P51" s="9">
        <f t="shared" si="4"/>
        <v>-1.4496703171744582E-2</v>
      </c>
      <c r="Q51" s="11">
        <f t="shared" si="5"/>
        <v>16237.740000000002</v>
      </c>
      <c r="R51">
        <f t="shared" si="6"/>
        <v>1.7082905636392276E-3</v>
      </c>
      <c r="S51"/>
    </row>
    <row r="52" spans="1:19">
      <c r="A52" s="73" t="s">
        <v>144</v>
      </c>
      <c r="B52" s="37"/>
      <c r="C52" s="76">
        <v>31256.425999999999</v>
      </c>
      <c r="D52" s="76"/>
      <c r="E52" s="10">
        <f t="shared" si="1"/>
        <v>-37772.136653372996</v>
      </c>
      <c r="F52">
        <f t="shared" si="2"/>
        <v>-37772</v>
      </c>
      <c r="G52" s="9">
        <f t="shared" si="3"/>
        <v>-4.8957160004647449E-2</v>
      </c>
      <c r="H52" s="9">
        <f t="shared" si="7"/>
        <v>-4.8957160004647449E-2</v>
      </c>
      <c r="P52" s="9">
        <f t="shared" si="4"/>
        <v>-1.4495473758484969E-2</v>
      </c>
      <c r="Q52" s="11">
        <f t="shared" si="5"/>
        <v>16237.925999999999</v>
      </c>
      <c r="R52">
        <f t="shared" si="6"/>
        <v>1.187607818928944E-3</v>
      </c>
      <c r="S52"/>
    </row>
    <row r="53" spans="1:19">
      <c r="A53" s="94" t="s">
        <v>32</v>
      </c>
      <c r="B53" s="94"/>
      <c r="C53" s="95">
        <v>32337.678</v>
      </c>
      <c r="D53" s="14"/>
      <c r="E53" s="10">
        <f t="shared" si="1"/>
        <v>-34754.054459695624</v>
      </c>
      <c r="F53">
        <f t="shared" si="2"/>
        <v>-34754</v>
      </c>
      <c r="G53" s="9">
        <f t="shared" si="3"/>
        <v>-1.9510620004439261E-2</v>
      </c>
      <c r="H53" s="9">
        <f t="shared" si="7"/>
        <v>-1.9510620004439261E-2</v>
      </c>
      <c r="P53" s="9">
        <f t="shared" si="4"/>
        <v>-5.337726736369632E-3</v>
      </c>
      <c r="Q53" s="11">
        <f t="shared" si="5"/>
        <v>17319.178</v>
      </c>
      <c r="R53">
        <f t="shared" si="6"/>
        <v>2.0087090358809337E-4</v>
      </c>
      <c r="S53" s="4"/>
    </row>
    <row r="54" spans="1:19">
      <c r="A54" t="s">
        <v>128</v>
      </c>
      <c r="B54" s="4" t="s">
        <v>41</v>
      </c>
      <c r="C54" s="84">
        <v>44366.7353</v>
      </c>
      <c r="D54" s="14"/>
      <c r="E54" s="10">
        <f t="shared" si="1"/>
        <v>-1177.5305375620837</v>
      </c>
      <c r="F54">
        <f t="shared" si="2"/>
        <v>-1177.5</v>
      </c>
      <c r="G54" s="9">
        <f t="shared" si="3"/>
        <v>-1.0940325002593454E-2</v>
      </c>
      <c r="J54" s="9">
        <f t="shared" ref="J54:J60" si="8">+G54</f>
        <v>-1.0940325002593454E-2</v>
      </c>
      <c r="P54" s="9">
        <f t="shared" si="4"/>
        <v>-9.878419897325165E-3</v>
      </c>
      <c r="Q54" s="11">
        <f t="shared" si="5"/>
        <v>29348.2353</v>
      </c>
      <c r="R54">
        <f t="shared" si="6"/>
        <v>1.1276424525948561E-6</v>
      </c>
      <c r="S54" s="4">
        <v>1</v>
      </c>
    </row>
    <row r="55" spans="1:19">
      <c r="A55" t="s">
        <v>128</v>
      </c>
      <c r="B55" s="4" t="s">
        <v>41</v>
      </c>
      <c r="C55" s="84">
        <v>44408.6512</v>
      </c>
      <c r="D55" s="14"/>
      <c r="E55" s="10">
        <f t="shared" si="1"/>
        <v>-1060.5313260721064</v>
      </c>
      <c r="F55">
        <f t="shared" si="2"/>
        <v>-1060.5</v>
      </c>
      <c r="G55" s="9">
        <f t="shared" si="3"/>
        <v>-1.1222815002838615E-2</v>
      </c>
      <c r="J55" s="9">
        <f t="shared" si="8"/>
        <v>-1.1222815002838615E-2</v>
      </c>
      <c r="P55" s="9">
        <f t="shared" si="4"/>
        <v>-9.511663322711271E-3</v>
      </c>
      <c r="Q55" s="11">
        <f t="shared" si="5"/>
        <v>29390.1512</v>
      </c>
      <c r="R55">
        <f t="shared" si="6"/>
        <v>2.9280400724026336E-6</v>
      </c>
      <c r="S55" s="4">
        <v>1</v>
      </c>
    </row>
    <row r="56" spans="1:19">
      <c r="A56" t="s">
        <v>128</v>
      </c>
      <c r="B56" s="4" t="s">
        <v>41</v>
      </c>
      <c r="C56" s="84">
        <v>44698.845500000003</v>
      </c>
      <c r="D56" s="14"/>
      <c r="E56" s="10">
        <f t="shared" si="1"/>
        <v>-250.51640860913182</v>
      </c>
      <c r="F56">
        <f t="shared" si="2"/>
        <v>-250.5</v>
      </c>
      <c r="G56" s="9">
        <f t="shared" si="3"/>
        <v>-5.8785149958566763E-3</v>
      </c>
      <c r="J56" s="9">
        <f t="shared" si="8"/>
        <v>-5.8785149958566763E-3</v>
      </c>
      <c r="P56" s="9">
        <f t="shared" si="4"/>
        <v>-6.8649711914644295E-3</v>
      </c>
      <c r="Q56" s="11">
        <f t="shared" si="5"/>
        <v>29680.345500000003</v>
      </c>
      <c r="R56">
        <f t="shared" si="6"/>
        <v>9.7309582585292199E-7</v>
      </c>
      <c r="S56" s="4">
        <v>1</v>
      </c>
    </row>
    <row r="57" spans="1:19">
      <c r="A57" t="s">
        <v>128</v>
      </c>
      <c r="B57" s="4" t="s">
        <v>39</v>
      </c>
      <c r="C57" s="84">
        <v>44787.515200000002</v>
      </c>
      <c r="D57" s="14"/>
      <c r="E57" s="10">
        <f t="shared" si="1"/>
        <v>-3.0140292482523772</v>
      </c>
      <c r="F57">
        <f t="shared" si="2"/>
        <v>-3</v>
      </c>
      <c r="G57" s="9">
        <f t="shared" si="3"/>
        <v>-5.0260900025023147E-3</v>
      </c>
      <c r="J57" s="9">
        <f t="shared" si="8"/>
        <v>-5.0260900025023147E-3</v>
      </c>
      <c r="P57" s="9">
        <f t="shared" si="4"/>
        <v>-6.0241753055997093E-3</v>
      </c>
      <c r="Q57" s="11">
        <f t="shared" si="5"/>
        <v>29769.015200000002</v>
      </c>
      <c r="R57">
        <f t="shared" si="6"/>
        <v>9.9617427225901795E-7</v>
      </c>
      <c r="S57" s="4">
        <v>1</v>
      </c>
    </row>
    <row r="58" spans="1:19">
      <c r="A58" t="s">
        <v>128</v>
      </c>
      <c r="B58" s="4" t="s">
        <v>39</v>
      </c>
      <c r="C58" s="84">
        <v>44788.59</v>
      </c>
      <c r="D58" s="14"/>
      <c r="E58" s="10">
        <f t="shared" si="1"/>
        <v>-1.3956423648179029E-2</v>
      </c>
      <c r="F58">
        <f t="shared" si="2"/>
        <v>0</v>
      </c>
      <c r="G58" s="9">
        <f t="shared" si="3"/>
        <v>-5.0000000046566129E-3</v>
      </c>
      <c r="J58" s="9">
        <f t="shared" si="8"/>
        <v>-5.0000000046566129E-3</v>
      </c>
      <c r="P58" s="9">
        <f t="shared" si="4"/>
        <v>-6.0139060992621214E-3</v>
      </c>
      <c r="Q58" s="11">
        <f t="shared" si="5"/>
        <v>29770.089999999997</v>
      </c>
      <c r="R58">
        <f t="shared" si="6"/>
        <v>1.0280055686781943E-6</v>
      </c>
      <c r="S58" s="4">
        <v>1</v>
      </c>
    </row>
    <row r="59" spans="1:19">
      <c r="A59" t="s">
        <v>128</v>
      </c>
      <c r="B59" s="4" t="s">
        <v>39</v>
      </c>
      <c r="C59" s="84">
        <v>44789.665099999998</v>
      </c>
      <c r="D59" s="14"/>
      <c r="E59" s="10">
        <f t="shared" si="1"/>
        <v>2.9869537863935944</v>
      </c>
      <c r="F59">
        <f t="shared" si="2"/>
        <v>3</v>
      </c>
      <c r="G59" s="9">
        <f t="shared" si="3"/>
        <v>-4.6739099998376332E-3</v>
      </c>
      <c r="J59" s="9">
        <f t="shared" si="8"/>
        <v>-4.6739099998376332E-3</v>
      </c>
      <c r="P59" s="9">
        <f t="shared" si="4"/>
        <v>-6.003635114684238E-3</v>
      </c>
      <c r="Q59" s="11">
        <f t="shared" si="5"/>
        <v>29771.165099999998</v>
      </c>
      <c r="R59">
        <f t="shared" si="6"/>
        <v>1.7681688810538164E-6</v>
      </c>
      <c r="S59" s="4">
        <v>1</v>
      </c>
    </row>
    <row r="60" spans="1:19">
      <c r="A60" t="s">
        <v>128</v>
      </c>
      <c r="B60" s="4" t="s">
        <v>41</v>
      </c>
      <c r="C60" s="84">
        <v>44790.560299999997</v>
      </c>
      <c r="D60" s="14"/>
      <c r="E60" s="10">
        <f t="shared" si="1"/>
        <v>5.4857118740336883</v>
      </c>
      <c r="F60">
        <f t="shared" si="2"/>
        <v>5.5</v>
      </c>
      <c r="G60" s="9">
        <f t="shared" si="3"/>
        <v>-5.1188350043958053E-3</v>
      </c>
      <c r="J60" s="9">
        <f t="shared" si="8"/>
        <v>-5.1188350043958053E-3</v>
      </c>
      <c r="P60" s="9">
        <f t="shared" si="4"/>
        <v>-5.995074604646467E-3</v>
      </c>
      <c r="Q60" s="11">
        <f t="shared" si="5"/>
        <v>29772.060299999997</v>
      </c>
      <c r="R60">
        <f t="shared" si="6"/>
        <v>7.6779583704743937E-7</v>
      </c>
      <c r="S60" s="4">
        <v>1</v>
      </c>
    </row>
    <row r="61" spans="1:19">
      <c r="A61" s="102" t="s">
        <v>33</v>
      </c>
      <c r="B61" s="103"/>
      <c r="C61" s="104">
        <v>48085.46</v>
      </c>
      <c r="D61" s="104"/>
      <c r="E61" s="105">
        <f t="shared" si="1"/>
        <v>9202.4889216002593</v>
      </c>
      <c r="F61" s="6">
        <f t="shared" si="2"/>
        <v>9202.5</v>
      </c>
      <c r="G61" s="106">
        <f t="shared" si="3"/>
        <v>-3.968925004301127E-3</v>
      </c>
      <c r="I61" s="9">
        <f>G61</f>
        <v>-3.968925004301127E-3</v>
      </c>
      <c r="P61" s="9">
        <f t="shared" si="4"/>
        <v>1.9587201994088314E-2</v>
      </c>
      <c r="Q61" s="11">
        <f t="shared" si="5"/>
        <v>33066.959999999999</v>
      </c>
      <c r="R61">
        <f t="shared" si="6"/>
        <v>5.5489111916425188E-4</v>
      </c>
      <c r="S61" s="4"/>
    </row>
    <row r="62" spans="1:19">
      <c r="A62" s="102" t="s">
        <v>33</v>
      </c>
      <c r="B62" s="103"/>
      <c r="C62" s="104">
        <v>48094.417999999998</v>
      </c>
      <c r="D62" s="104"/>
      <c r="E62" s="105">
        <f t="shared" si="1"/>
        <v>9227.4932501850471</v>
      </c>
      <c r="F62" s="6">
        <f t="shared" si="2"/>
        <v>9227.5</v>
      </c>
      <c r="G62" s="106">
        <f t="shared" si="3"/>
        <v>-2.4181750050047413E-3</v>
      </c>
      <c r="I62" s="9">
        <f>G62</f>
        <v>-2.4181750050047413E-3</v>
      </c>
      <c r="P62" s="9">
        <f t="shared" si="4"/>
        <v>1.9607249018722017E-2</v>
      </c>
      <c r="Q62" s="11">
        <f t="shared" si="5"/>
        <v>33075.917999999998</v>
      </c>
      <c r="R62">
        <f t="shared" si="6"/>
        <v>4.8511930342495986E-4</v>
      </c>
      <c r="S62" s="4"/>
    </row>
    <row r="63" spans="1:19">
      <c r="A63" s="102" t="s">
        <v>33</v>
      </c>
      <c r="B63" s="103"/>
      <c r="C63" s="104">
        <v>48122.360999999997</v>
      </c>
      <c r="D63" s="104"/>
      <c r="E63" s="105">
        <f t="shared" si="1"/>
        <v>9305.490119312617</v>
      </c>
      <c r="F63" s="6">
        <f t="shared" si="2"/>
        <v>9305.5</v>
      </c>
      <c r="G63" s="106">
        <f t="shared" si="3"/>
        <v>-3.5398350009927526E-3</v>
      </c>
      <c r="I63" s="9">
        <f>G63</f>
        <v>-3.5398350009927526E-3</v>
      </c>
      <c r="P63" s="9">
        <f t="shared" si="4"/>
        <v>1.9667261697752236E-2</v>
      </c>
      <c r="Q63" s="11">
        <f t="shared" si="5"/>
        <v>33103.860999999997</v>
      </c>
      <c r="R63">
        <f t="shared" si="6"/>
        <v>5.3856933718490058E-4</v>
      </c>
      <c r="S63" s="4"/>
    </row>
    <row r="64" spans="1:19">
      <c r="A64" t="s">
        <v>129</v>
      </c>
      <c r="B64" s="4"/>
      <c r="C64" s="85">
        <v>48336.621099999997</v>
      </c>
      <c r="D64" s="14"/>
      <c r="E64" s="10">
        <f t="shared" si="1"/>
        <v>9903.5510640558696</v>
      </c>
      <c r="F64">
        <f t="shared" si="2"/>
        <v>9903.5</v>
      </c>
      <c r="G64" s="9">
        <f t="shared" si="3"/>
        <v>1.8294104993401561E-2</v>
      </c>
      <c r="J64" s="9">
        <f>+G64</f>
        <v>1.8294104993401561E-2</v>
      </c>
      <c r="P64" s="9">
        <f t="shared" si="4"/>
        <v>1.9998817831227565E-2</v>
      </c>
      <c r="Q64" s="11">
        <f t="shared" si="5"/>
        <v>33318.121099999997</v>
      </c>
      <c r="R64">
        <f t="shared" si="6"/>
        <v>2.9060458594487867E-6</v>
      </c>
      <c r="S64" s="4">
        <v>1</v>
      </c>
    </row>
    <row r="65" spans="1:20">
      <c r="A65" s="96" t="s">
        <v>149</v>
      </c>
      <c r="B65" s="97" t="s">
        <v>40</v>
      </c>
      <c r="C65" s="98">
        <v>48500.337</v>
      </c>
      <c r="D65" s="98"/>
      <c r="E65" s="10">
        <f t="shared" si="1"/>
        <v>10360.528755298867</v>
      </c>
      <c r="F65">
        <f t="shared" si="2"/>
        <v>10360.5</v>
      </c>
      <c r="G65" s="9">
        <f t="shared" si="3"/>
        <v>1.0301814996637404E-2</v>
      </c>
      <c r="K65" s="9">
        <f>G65</f>
        <v>1.0301814996637404E-2</v>
      </c>
      <c r="P65" s="9">
        <f t="shared" si="4"/>
        <v>2.0097437886183098E-2</v>
      </c>
      <c r="Q65" s="11">
        <f t="shared" si="5"/>
        <v>33481.837</v>
      </c>
      <c r="R65">
        <f t="shared" si="6"/>
        <v>9.5954227794191533E-5</v>
      </c>
      <c r="S65" s="4"/>
      <c r="T65" s="138"/>
    </row>
    <row r="66" spans="1:20">
      <c r="A66" t="s">
        <v>130</v>
      </c>
      <c r="B66" s="4"/>
      <c r="C66" s="85">
        <v>51091.429700000001</v>
      </c>
      <c r="D66" s="14"/>
      <c r="E66" s="10">
        <f t="shared" si="1"/>
        <v>17593.006235143908</v>
      </c>
      <c r="F66">
        <f t="shared" si="2"/>
        <v>17593</v>
      </c>
      <c r="G66" s="9">
        <f t="shared" si="3"/>
        <v>2.2337900009006262E-3</v>
      </c>
      <c r="K66" s="9">
        <f>+G66</f>
        <v>2.2337900009006262E-3</v>
      </c>
      <c r="P66" s="9">
        <f t="shared" si="4"/>
        <v>5.8128839040882839E-3</v>
      </c>
      <c r="Q66" s="11">
        <f t="shared" si="5"/>
        <v>36072.929700000001</v>
      </c>
      <c r="R66">
        <f t="shared" si="6"/>
        <v>1.2809913167835062E-5</v>
      </c>
      <c r="S66" s="4">
        <v>1</v>
      </c>
    </row>
    <row r="67" spans="1:20">
      <c r="A67" s="144" t="s">
        <v>42</v>
      </c>
      <c r="B67" s="145" t="s">
        <v>39</v>
      </c>
      <c r="C67" s="146">
        <v>51314.614999999998</v>
      </c>
      <c r="D67" s="146">
        <v>2E-3</v>
      </c>
      <c r="E67" s="10">
        <f t="shared" si="1"/>
        <v>18215.979954332899</v>
      </c>
      <c r="F67">
        <f t="shared" si="2"/>
        <v>18216</v>
      </c>
      <c r="G67" s="9">
        <f t="shared" si="3"/>
        <v>-7.1815199989941902E-3</v>
      </c>
      <c r="H67" s="9">
        <f>+G67</f>
        <v>-7.1815199989941902E-3</v>
      </c>
      <c r="O67" s="9">
        <f>+C$11+C$12*F67</f>
        <v>0</v>
      </c>
      <c r="Q67" s="11">
        <f t="shared" si="5"/>
        <v>36296.114999999998</v>
      </c>
      <c r="R67"/>
      <c r="S67"/>
    </row>
    <row r="68" spans="1:20">
      <c r="A68" s="96" t="s">
        <v>42</v>
      </c>
      <c r="B68" s="97" t="s">
        <v>39</v>
      </c>
      <c r="C68" s="98">
        <v>51338.803819784996</v>
      </c>
      <c r="D68" s="98"/>
      <c r="E68" s="10">
        <f t="shared" si="1"/>
        <v>18283.497837563798</v>
      </c>
      <c r="F68">
        <f t="shared" si="2"/>
        <v>18283.5</v>
      </c>
      <c r="G68" s="9">
        <f t="shared" si="3"/>
        <v>-7.7471000258810818E-4</v>
      </c>
      <c r="H68" s="9">
        <f>G68</f>
        <v>-7.7471000258810818E-4</v>
      </c>
      <c r="P68" s="9">
        <f>C$15+C$16*F68+C$17*SIN(RADIANS(C$18)*F68+RADIANS(C$19))</f>
        <v>3.3958774788663015E-3</v>
      </c>
      <c r="Q68" s="11">
        <f t="shared" si="5"/>
        <v>36320.303819784996</v>
      </c>
      <c r="R68">
        <f>+(P68-G68)^2</f>
        <v>1.7393799940464232E-5</v>
      </c>
      <c r="S68"/>
    </row>
    <row r="69" spans="1:20">
      <c r="A69" s="144" t="s">
        <v>42</v>
      </c>
      <c r="B69" s="145" t="s">
        <v>39</v>
      </c>
      <c r="C69" s="146">
        <v>51615.201000000001</v>
      </c>
      <c r="D69" s="146">
        <v>2E-3</v>
      </c>
      <c r="E69" s="10">
        <f t="shared" si="1"/>
        <v>19055.001065293818</v>
      </c>
      <c r="F69">
        <f t="shared" si="2"/>
        <v>19055</v>
      </c>
      <c r="G69" s="9">
        <f t="shared" si="3"/>
        <v>3.8165000296430662E-4</v>
      </c>
      <c r="H69" s="9">
        <f>+G69</f>
        <v>3.8165000296430662E-4</v>
      </c>
      <c r="O69" s="9">
        <f>+C$11+C$12*F69</f>
        <v>0</v>
      </c>
      <c r="Q69" s="11">
        <f t="shared" si="5"/>
        <v>36596.701000000001</v>
      </c>
      <c r="R69"/>
      <c r="S69"/>
    </row>
    <row r="70" spans="1:20">
      <c r="A70" s="96" t="s">
        <v>38</v>
      </c>
      <c r="B70" s="97" t="s">
        <v>39</v>
      </c>
      <c r="C70" s="98">
        <v>52016.981609549999</v>
      </c>
      <c r="D70" s="98"/>
      <c r="E70" s="10">
        <f t="shared" si="1"/>
        <v>20176.48514435003</v>
      </c>
      <c r="F70">
        <f t="shared" si="2"/>
        <v>20176.5</v>
      </c>
      <c r="G70" s="9">
        <f t="shared" si="3"/>
        <v>-5.322155004250817E-3</v>
      </c>
      <c r="K70" s="9">
        <f>G70</f>
        <v>-5.322155004250817E-3</v>
      </c>
      <c r="P70" s="9">
        <f>C$15+C$16*F70+C$17*SIN(RADIANS(C$18)*F70+RADIANS(C$19))</f>
        <v>-3.3771162742709158E-3</v>
      </c>
      <c r="Q70" s="11">
        <f t="shared" si="5"/>
        <v>36998.481609549999</v>
      </c>
      <c r="R70">
        <f>+(P70-G70)^2</f>
        <v>3.7831756611218272E-6</v>
      </c>
      <c r="S70" s="4"/>
    </row>
    <row r="71" spans="1:20">
      <c r="A71" s="144" t="s">
        <v>38</v>
      </c>
      <c r="B71" s="145" t="s">
        <v>39</v>
      </c>
      <c r="C71" s="146">
        <v>52034.711000000003</v>
      </c>
      <c r="D71" s="146">
        <v>3.0000000000000001E-3</v>
      </c>
      <c r="E71" s="10">
        <f t="shared" si="1"/>
        <v>20225.972921132787</v>
      </c>
      <c r="F71">
        <f t="shared" si="2"/>
        <v>20226</v>
      </c>
      <c r="G71" s="9">
        <f t="shared" si="3"/>
        <v>-9.7012199985329062E-3</v>
      </c>
      <c r="K71" s="9">
        <f>+G71</f>
        <v>-9.7012199985329062E-3</v>
      </c>
      <c r="O71" s="9">
        <f>+C$11+C$12*F71</f>
        <v>0</v>
      </c>
      <c r="Q71" s="11">
        <f t="shared" si="5"/>
        <v>37016.211000000003</v>
      </c>
      <c r="R71"/>
      <c r="S71" s="4"/>
    </row>
    <row r="72" spans="1:20">
      <c r="A72" s="144" t="s">
        <v>38</v>
      </c>
      <c r="B72" s="145" t="s">
        <v>39</v>
      </c>
      <c r="C72" s="146">
        <v>52475.012000000002</v>
      </c>
      <c r="D72" s="146">
        <v>2E-3</v>
      </c>
      <c r="E72" s="10">
        <f t="shared" si="1"/>
        <v>21454.978377731561</v>
      </c>
      <c r="F72">
        <f t="shared" si="2"/>
        <v>21455</v>
      </c>
      <c r="G72" s="9">
        <f t="shared" si="3"/>
        <v>-7.7463499983423389E-3</v>
      </c>
      <c r="K72" s="9">
        <f>+G72</f>
        <v>-7.7463499983423389E-3</v>
      </c>
      <c r="O72" s="9">
        <f>+C$11+C$12*F72</f>
        <v>0</v>
      </c>
      <c r="Q72" s="11">
        <f t="shared" si="5"/>
        <v>37456.512000000002</v>
      </c>
      <c r="R72"/>
      <c r="S72" s="4"/>
    </row>
    <row r="73" spans="1:20">
      <c r="A73" t="s">
        <v>131</v>
      </c>
      <c r="B73" s="74" t="s">
        <v>39</v>
      </c>
      <c r="C73" s="79">
        <v>52725.434500000003</v>
      </c>
      <c r="D73" s="79">
        <v>1E-4</v>
      </c>
      <c r="E73" s="10">
        <f t="shared" ref="E73:E108" si="9">+(C73-C$7)/C$8</f>
        <v>22153.978877287787</v>
      </c>
      <c r="F73">
        <f t="shared" ref="F73:F104" si="10">ROUND(2*E73,0)/2</f>
        <v>22154</v>
      </c>
      <c r="G73" s="9">
        <f t="shared" ref="G73:G104" si="11">+C73-(C$7+F73*C$8)</f>
        <v>-7.5673799947253428E-3</v>
      </c>
      <c r="K73" s="9">
        <f t="shared" ref="K73:K79" si="12">G73</f>
        <v>-7.5673799947253428E-3</v>
      </c>
      <c r="P73" s="9">
        <f t="shared" ref="P73:P79" si="13">C$15+C$16*F73+C$17*SIN(RADIANS(C$18)*F73+RADIANS(C$19))</f>
        <v>-1.0014304766776047E-2</v>
      </c>
      <c r="Q73" s="11">
        <f t="shared" ref="Q73:Q108" si="14">+C73-15018.5</f>
        <v>37706.934500000003</v>
      </c>
      <c r="R73">
        <f t="shared" ref="R73:R79" si="15">+(P73-G73)^2</f>
        <v>5.9874408400753906E-6</v>
      </c>
      <c r="S73" s="4">
        <v>1</v>
      </c>
    </row>
    <row r="74" spans="1:20">
      <c r="A74" t="s">
        <v>131</v>
      </c>
      <c r="B74" s="74" t="s">
        <v>41</v>
      </c>
      <c r="C74" s="79">
        <v>52725.613499999999</v>
      </c>
      <c r="D74" s="79">
        <v>2.0000000000000001E-4</v>
      </c>
      <c r="E74" s="10">
        <f t="shared" si="9"/>
        <v>22154.47851725392</v>
      </c>
      <c r="F74">
        <f t="shared" si="10"/>
        <v>22154.5</v>
      </c>
      <c r="G74" s="9">
        <f t="shared" si="11"/>
        <v>-7.6963649989920668E-3</v>
      </c>
      <c r="K74" s="9">
        <f t="shared" si="12"/>
        <v>-7.6963649989920668E-3</v>
      </c>
      <c r="P74" s="9">
        <f t="shared" si="13"/>
        <v>-1.001585542641354E-2</v>
      </c>
      <c r="Q74" s="11">
        <f t="shared" si="14"/>
        <v>37707.113499999999</v>
      </c>
      <c r="R74">
        <f t="shared" si="15"/>
        <v>5.3800358428998509E-6</v>
      </c>
      <c r="S74" s="4">
        <v>1</v>
      </c>
    </row>
    <row r="75" spans="1:20">
      <c r="A75" t="s">
        <v>131</v>
      </c>
      <c r="B75" s="74" t="s">
        <v>39</v>
      </c>
      <c r="C75" s="79">
        <v>52726.509700000002</v>
      </c>
      <c r="D75" s="79">
        <v>1E-4</v>
      </c>
      <c r="E75" s="10">
        <f t="shared" si="9"/>
        <v>22156.980066626296</v>
      </c>
      <c r="F75">
        <f t="shared" si="10"/>
        <v>22157</v>
      </c>
      <c r="G75" s="9">
        <f t="shared" si="11"/>
        <v>-7.1412899997085333E-3</v>
      </c>
      <c r="K75" s="9">
        <f t="shared" si="12"/>
        <v>-7.1412899997085333E-3</v>
      </c>
      <c r="P75" s="9">
        <f t="shared" si="13"/>
        <v>-1.0023607498159396E-2</v>
      </c>
      <c r="Q75" s="11">
        <f t="shared" si="14"/>
        <v>37708.009700000002</v>
      </c>
      <c r="R75">
        <f t="shared" si="15"/>
        <v>8.3077541618760391E-6</v>
      </c>
      <c r="S75" s="4">
        <v>1</v>
      </c>
    </row>
    <row r="76" spans="1:20">
      <c r="A76" t="s">
        <v>150</v>
      </c>
      <c r="B76" s="74"/>
      <c r="C76" s="107">
        <v>52727.404699999999</v>
      </c>
      <c r="D76" s="79"/>
      <c r="E76" s="10">
        <f t="shared" si="9"/>
        <v>22159.478266456983</v>
      </c>
      <c r="F76">
        <f t="shared" si="10"/>
        <v>22159.5</v>
      </c>
      <c r="G76" s="9">
        <f t="shared" si="11"/>
        <v>-7.7862149992142804E-3</v>
      </c>
      <c r="K76" s="9">
        <f t="shared" si="12"/>
        <v>-7.7862149992142804E-3</v>
      </c>
      <c r="P76" s="9">
        <f t="shared" si="13"/>
        <v>-1.0031357524687588E-2</v>
      </c>
      <c r="Q76" s="11">
        <f t="shared" si="14"/>
        <v>37708.904699999999</v>
      </c>
      <c r="R76">
        <f t="shared" si="15"/>
        <v>5.0406649596886618E-6</v>
      </c>
      <c r="S76"/>
    </row>
    <row r="77" spans="1:20">
      <c r="A77" t="s">
        <v>131</v>
      </c>
      <c r="B77" s="74" t="s">
        <v>41</v>
      </c>
      <c r="C77" s="79">
        <v>52727.404999999999</v>
      </c>
      <c r="D77" s="79">
        <v>2.0000000000000001E-4</v>
      </c>
      <c r="E77" s="10">
        <f t="shared" si="9"/>
        <v>22159.479103842401</v>
      </c>
      <c r="F77">
        <f t="shared" si="10"/>
        <v>22159.5</v>
      </c>
      <c r="G77" s="9">
        <f t="shared" si="11"/>
        <v>-7.4862149995169602E-3</v>
      </c>
      <c r="K77" s="9">
        <f t="shared" si="12"/>
        <v>-7.4862149995169602E-3</v>
      </c>
      <c r="P77" s="9">
        <f t="shared" si="13"/>
        <v>-1.0031357524687588E-2</v>
      </c>
      <c r="Q77" s="11">
        <f t="shared" si="14"/>
        <v>37708.904999999999</v>
      </c>
      <c r="R77">
        <f t="shared" si="15"/>
        <v>6.4777504734319193E-6</v>
      </c>
      <c r="S77" s="4">
        <v>1</v>
      </c>
    </row>
    <row r="78" spans="1:20">
      <c r="A78" t="s">
        <v>131</v>
      </c>
      <c r="B78" s="74" t="s">
        <v>39</v>
      </c>
      <c r="C78" s="79">
        <v>52727.584699999999</v>
      </c>
      <c r="D78" s="79">
        <v>2.9999999999999997E-4</v>
      </c>
      <c r="E78" s="10">
        <f t="shared" si="9"/>
        <v>22159.980697707852</v>
      </c>
      <c r="F78">
        <f t="shared" si="10"/>
        <v>22160</v>
      </c>
      <c r="G78" s="9">
        <f t="shared" si="11"/>
        <v>-6.9151999996392988E-3</v>
      </c>
      <c r="K78" s="9">
        <f t="shared" si="12"/>
        <v>-6.9151999996392988E-3</v>
      </c>
      <c r="P78" s="9">
        <f t="shared" si="13"/>
        <v>-1.0032907284429361E-2</v>
      </c>
      <c r="Q78" s="11">
        <f t="shared" si="14"/>
        <v>37709.084699999999</v>
      </c>
      <c r="R78">
        <f t="shared" si="15"/>
        <v>9.7200987136330218E-6</v>
      </c>
      <c r="S78" s="4">
        <v>1</v>
      </c>
    </row>
    <row r="79" spans="1:20">
      <c r="A79" t="s">
        <v>131</v>
      </c>
      <c r="B79" s="74" t="s">
        <v>41</v>
      </c>
      <c r="C79" s="79">
        <v>52730.630400000002</v>
      </c>
      <c r="D79" s="79">
        <v>4.0000000000000002E-4</v>
      </c>
      <c r="E79" s="10">
        <f t="shared" si="9"/>
        <v>22168.482113600992</v>
      </c>
      <c r="F79">
        <f t="shared" si="10"/>
        <v>22168.5</v>
      </c>
      <c r="G79" s="9">
        <f t="shared" si="11"/>
        <v>-6.407945002138149E-3</v>
      </c>
      <c r="K79" s="9">
        <f t="shared" si="12"/>
        <v>-6.407945002138149E-3</v>
      </c>
      <c r="P79" s="9">
        <f t="shared" si="13"/>
        <v>-1.0059240661596126E-2</v>
      </c>
      <c r="Q79" s="11">
        <f t="shared" si="14"/>
        <v>37712.130400000002</v>
      </c>
      <c r="R79">
        <f t="shared" si="15"/>
        <v>1.333195999277666E-5</v>
      </c>
      <c r="S79" s="4">
        <v>1</v>
      </c>
    </row>
    <row r="80" spans="1:20">
      <c r="A80" s="144" t="s">
        <v>38</v>
      </c>
      <c r="B80" s="145" t="s">
        <v>39</v>
      </c>
      <c r="C80" s="146">
        <v>52773.798999999999</v>
      </c>
      <c r="D80" s="146">
        <v>2E-3</v>
      </c>
      <c r="E80" s="10">
        <f t="shared" si="9"/>
        <v>22288.97796746852</v>
      </c>
      <c r="F80">
        <f t="shared" si="10"/>
        <v>22289</v>
      </c>
      <c r="G80" s="9">
        <f t="shared" si="11"/>
        <v>-7.893330002843868E-3</v>
      </c>
      <c r="K80" s="9">
        <f>+G80</f>
        <v>-7.893330002843868E-3</v>
      </c>
      <c r="O80" s="9">
        <f>+C$11+C$12*F80</f>
        <v>0</v>
      </c>
      <c r="Q80" s="11">
        <f t="shared" si="14"/>
        <v>37755.298999999999</v>
      </c>
      <c r="R80"/>
      <c r="S80" s="4"/>
    </row>
    <row r="81" spans="1:19">
      <c r="A81" s="144" t="s">
        <v>38</v>
      </c>
      <c r="B81" s="145" t="s">
        <v>39</v>
      </c>
      <c r="C81" s="146">
        <v>53132.762999999999</v>
      </c>
      <c r="D81" s="146">
        <v>3.0000000000000001E-3</v>
      </c>
      <c r="E81" s="10">
        <f t="shared" si="9"/>
        <v>23290.948698224351</v>
      </c>
      <c r="F81">
        <f t="shared" si="10"/>
        <v>23291</v>
      </c>
      <c r="G81" s="9">
        <f t="shared" si="11"/>
        <v>-1.8379270004516002E-2</v>
      </c>
      <c r="K81" s="9">
        <f>+G81</f>
        <v>-1.8379270004516002E-2</v>
      </c>
      <c r="O81" s="9">
        <f>+C$11+C$12*F81</f>
        <v>0</v>
      </c>
      <c r="Q81" s="11">
        <f t="shared" si="14"/>
        <v>38114.262999999999</v>
      </c>
      <c r="R81"/>
      <c r="S81" s="4"/>
    </row>
    <row r="82" spans="1:19">
      <c r="A82" t="s">
        <v>129</v>
      </c>
      <c r="B82" s="74" t="s">
        <v>39</v>
      </c>
      <c r="C82" s="79">
        <v>53189.010199999997</v>
      </c>
      <c r="D82" s="79"/>
      <c r="E82" s="10">
        <f t="shared" si="9"/>
        <v>23447.950648522896</v>
      </c>
      <c r="F82">
        <f t="shared" si="10"/>
        <v>23448</v>
      </c>
      <c r="G82" s="9">
        <f t="shared" si="11"/>
        <v>-1.7680560005828738E-2</v>
      </c>
      <c r="K82" s="9">
        <f t="shared" ref="K82:K89" si="16">G82</f>
        <v>-1.7680560005828738E-2</v>
      </c>
      <c r="P82" s="9">
        <f t="shared" ref="P82:P89" si="17">C$15+C$16*F82+C$17*SIN(RADIANS(C$18)*F82+RADIANS(C$19))</f>
        <v>-1.3718937014338795E-2</v>
      </c>
      <c r="Q82" s="11">
        <f t="shared" si="14"/>
        <v>38170.510199999997</v>
      </c>
      <c r="R82">
        <f t="shared" ref="R82:R89" si="18">+(P82-G82)^2</f>
        <v>1.5694456726701729E-5</v>
      </c>
      <c r="S82" s="4">
        <v>1</v>
      </c>
    </row>
    <row r="83" spans="1:19" ht="13.5" thickBot="1">
      <c r="A83" s="133" t="s">
        <v>129</v>
      </c>
      <c r="B83" s="158"/>
      <c r="C83" s="159">
        <v>53190.977599999998</v>
      </c>
      <c r="D83" s="160"/>
      <c r="E83" s="82">
        <f t="shared" si="9"/>
        <v>23453.442222094873</v>
      </c>
      <c r="F83" s="133">
        <f t="shared" si="10"/>
        <v>23453.5</v>
      </c>
      <c r="G83" s="83">
        <f t="shared" si="11"/>
        <v>-2.0699395005067345E-2</v>
      </c>
      <c r="H83" s="83"/>
      <c r="I83" s="83"/>
      <c r="J83" s="83"/>
      <c r="K83" s="9">
        <f t="shared" si="16"/>
        <v>-2.0699395005067345E-2</v>
      </c>
      <c r="L83" s="83"/>
      <c r="N83" s="83"/>
      <c r="O83" s="83"/>
      <c r="P83" s="83">
        <f t="shared" si="17"/>
        <v>-1.3733222644178734E-2</v>
      </c>
      <c r="Q83" s="134">
        <f t="shared" si="14"/>
        <v>38172.477599999998</v>
      </c>
      <c r="R83" s="133">
        <f t="shared" si="18"/>
        <v>4.8527557361608396E-5</v>
      </c>
      <c r="S83" s="4">
        <v>1</v>
      </c>
    </row>
    <row r="84" spans="1:19">
      <c r="A84" t="s">
        <v>132</v>
      </c>
      <c r="B84" s="74" t="s">
        <v>41</v>
      </c>
      <c r="C84" s="79">
        <v>53438.895199999999</v>
      </c>
      <c r="D84" s="79">
        <v>2.9999999999999997E-4</v>
      </c>
      <c r="E84" s="10">
        <f t="shared" si="9"/>
        <v>24145.450832538347</v>
      </c>
      <c r="F84">
        <f t="shared" si="10"/>
        <v>24145.5</v>
      </c>
      <c r="G84" s="9">
        <f t="shared" si="11"/>
        <v>-1.7614634998608381E-2</v>
      </c>
      <c r="K84" s="9">
        <f t="shared" si="16"/>
        <v>-1.7614634998608381E-2</v>
      </c>
      <c r="P84" s="9">
        <f t="shared" si="17"/>
        <v>-1.5418216388050085E-2</v>
      </c>
      <c r="Q84" s="11">
        <f t="shared" si="14"/>
        <v>38420.395199999999</v>
      </c>
      <c r="R84">
        <f t="shared" si="18"/>
        <v>4.8242547128068325E-6</v>
      </c>
      <c r="S84" s="4">
        <v>1</v>
      </c>
    </row>
    <row r="85" spans="1:19">
      <c r="A85" t="s">
        <v>133</v>
      </c>
      <c r="B85" s="29" t="s">
        <v>39</v>
      </c>
      <c r="C85" s="30">
        <v>53450.538699999997</v>
      </c>
      <c r="D85" s="31">
        <v>4.0000000000000002E-4</v>
      </c>
      <c r="E85" s="10">
        <f t="shared" si="9"/>
        <v>24177.95115625759</v>
      </c>
      <c r="F85">
        <f t="shared" si="10"/>
        <v>24178</v>
      </c>
      <c r="G85" s="9">
        <f t="shared" si="11"/>
        <v>-1.7498660003184341E-2</v>
      </c>
      <c r="K85" s="9">
        <f t="shared" si="16"/>
        <v>-1.7498660003184341E-2</v>
      </c>
      <c r="P85" s="9">
        <f t="shared" si="17"/>
        <v>-1.5491644298019311E-2</v>
      </c>
      <c r="Q85" s="11">
        <f t="shared" si="14"/>
        <v>38432.038699999997</v>
      </c>
      <c r="R85">
        <f t="shared" si="18"/>
        <v>4.0281120407790815E-6</v>
      </c>
      <c r="S85" s="4">
        <v>1</v>
      </c>
    </row>
    <row r="86" spans="1:19">
      <c r="A86" s="99" t="s">
        <v>49</v>
      </c>
      <c r="B86" s="97" t="s">
        <v>41</v>
      </c>
      <c r="C86" s="100">
        <v>53509.829700000002</v>
      </c>
      <c r="D86" s="100">
        <v>5.9999999999999995E-4</v>
      </c>
      <c r="E86" s="10">
        <f t="shared" si="9"/>
        <v>24343.449219008307</v>
      </c>
      <c r="F86">
        <f t="shared" si="10"/>
        <v>24343.5</v>
      </c>
      <c r="G86" s="9">
        <f t="shared" si="11"/>
        <v>-1.8192695002653636E-2</v>
      </c>
      <c r="K86" s="9">
        <f t="shared" si="16"/>
        <v>-1.8192695002653636E-2</v>
      </c>
      <c r="P86" s="9">
        <f t="shared" si="17"/>
        <v>-1.5857252490079833E-2</v>
      </c>
      <c r="Q86" s="11">
        <f t="shared" si="14"/>
        <v>38491.329700000002</v>
      </c>
      <c r="R86">
        <f t="shared" si="18"/>
        <v>5.4542917295370379E-6</v>
      </c>
      <c r="S86" s="4"/>
    </row>
    <row r="87" spans="1:19">
      <c r="A87" s="99" t="s">
        <v>49</v>
      </c>
      <c r="B87" s="97" t="s">
        <v>41</v>
      </c>
      <c r="C87" s="100">
        <v>53511.6204</v>
      </c>
      <c r="D87" s="100">
        <v>1E-3</v>
      </c>
      <c r="E87" s="10">
        <f t="shared" si="9"/>
        <v>24348.447572569003</v>
      </c>
      <c r="F87">
        <f t="shared" si="10"/>
        <v>24348.5</v>
      </c>
      <c r="G87" s="9">
        <f t="shared" si="11"/>
        <v>-1.8782544997520745E-2</v>
      </c>
      <c r="K87" s="9">
        <f t="shared" si="16"/>
        <v>-1.8782544997520745E-2</v>
      </c>
      <c r="P87" s="9">
        <f t="shared" si="17"/>
        <v>-1.5868079821680883E-2</v>
      </c>
      <c r="Q87" s="11">
        <f t="shared" si="14"/>
        <v>38493.1204</v>
      </c>
      <c r="R87">
        <f t="shared" si="18"/>
        <v>8.4941072611832747E-6</v>
      </c>
      <c r="S87" s="4"/>
    </row>
    <row r="88" spans="1:19">
      <c r="A88" s="99" t="s">
        <v>49</v>
      </c>
      <c r="B88" s="97" t="s">
        <v>39</v>
      </c>
      <c r="C88" s="100">
        <v>53511.798499999997</v>
      </c>
      <c r="D88" s="100">
        <v>2.0999999999999999E-3</v>
      </c>
      <c r="E88" s="10">
        <f t="shared" si="9"/>
        <v>24348.944700378881</v>
      </c>
      <c r="F88">
        <f t="shared" si="10"/>
        <v>24349</v>
      </c>
      <c r="G88" s="9">
        <f t="shared" si="11"/>
        <v>-1.9811530000879429E-2</v>
      </c>
      <c r="K88" s="9">
        <f t="shared" si="16"/>
        <v>-1.9811530000879429E-2</v>
      </c>
      <c r="P88" s="9">
        <f t="shared" si="17"/>
        <v>-1.5869161845324536E-2</v>
      </c>
      <c r="Q88" s="11">
        <f t="shared" si="14"/>
        <v>38493.298499999997</v>
      </c>
      <c r="R88">
        <f t="shared" si="18"/>
        <v>1.5542266673933293E-5</v>
      </c>
      <c r="S88" s="4"/>
    </row>
    <row r="89" spans="1:19">
      <c r="A89" s="99" t="s">
        <v>49</v>
      </c>
      <c r="B89" s="97" t="s">
        <v>41</v>
      </c>
      <c r="C89" s="100">
        <v>53517.711300000003</v>
      </c>
      <c r="D89" s="100">
        <v>1.2999999999999999E-3</v>
      </c>
      <c r="E89" s="10">
        <f t="shared" si="9"/>
        <v>24365.449008712916</v>
      </c>
      <c r="F89">
        <f t="shared" si="10"/>
        <v>24365.5</v>
      </c>
      <c r="G89" s="9">
        <f t="shared" si="11"/>
        <v>-1.826803499716334E-2</v>
      </c>
      <c r="K89" s="9">
        <f t="shared" si="16"/>
        <v>-1.826803499716334E-2</v>
      </c>
      <c r="P89" s="9">
        <f t="shared" si="17"/>
        <v>-1.5904796183002928E-2</v>
      </c>
      <c r="Q89" s="11">
        <f t="shared" si="14"/>
        <v>38499.211300000003</v>
      </c>
      <c r="R89">
        <f t="shared" si="18"/>
        <v>5.5848976927543144E-6</v>
      </c>
      <c r="S89" s="4"/>
    </row>
    <row r="90" spans="1:19">
      <c r="A90" s="144" t="s">
        <v>38</v>
      </c>
      <c r="B90" s="145" t="s">
        <v>39</v>
      </c>
      <c r="C90" s="146">
        <v>53521.474999999999</v>
      </c>
      <c r="D90" s="146">
        <v>2E-3</v>
      </c>
      <c r="E90" s="10">
        <f t="shared" si="9"/>
        <v>24375.954567040051</v>
      </c>
      <c r="F90">
        <f t="shared" si="10"/>
        <v>24376</v>
      </c>
      <c r="G90" s="9">
        <f t="shared" si="11"/>
        <v>-1.6276720001769718E-2</v>
      </c>
      <c r="K90" s="9">
        <f>+G90</f>
        <v>-1.6276720001769718E-2</v>
      </c>
      <c r="O90" s="9">
        <f>+C$11+C$12*F90</f>
        <v>0</v>
      </c>
      <c r="Q90" s="11">
        <f t="shared" si="14"/>
        <v>38502.974999999999</v>
      </c>
      <c r="R90"/>
      <c r="S90" s="4"/>
    </row>
    <row r="91" spans="1:19">
      <c r="A91" t="s">
        <v>131</v>
      </c>
      <c r="B91" s="29"/>
      <c r="C91" s="143">
        <v>54164.364999999998</v>
      </c>
      <c r="D91" s="31"/>
      <c r="E91" s="10">
        <f t="shared" si="9"/>
        <v>26170.443605204364</v>
      </c>
      <c r="F91">
        <f t="shared" si="10"/>
        <v>26170.5</v>
      </c>
      <c r="G91" s="9">
        <f t="shared" si="11"/>
        <v>-2.0203885003866162E-2</v>
      </c>
      <c r="K91" s="9">
        <f t="shared" ref="K91:K103" si="19">G91</f>
        <v>-2.0203885003866162E-2</v>
      </c>
      <c r="P91" s="9">
        <f>C$15+C$16*F91+C$17*SIN(RADIANS(C$18)*F91+RADIANS(C$19))</f>
        <v>-1.8892037650578796E-2</v>
      </c>
      <c r="Q91" s="11">
        <f t="shared" si="14"/>
        <v>39145.864999999998</v>
      </c>
      <c r="R91">
        <f>+(P91-G91)^2</f>
        <v>1.7209434783270674E-6</v>
      </c>
      <c r="S91" s="4">
        <v>1</v>
      </c>
    </row>
    <row r="92" spans="1:19">
      <c r="A92" s="28" t="s">
        <v>160</v>
      </c>
      <c r="B92" s="74" t="s">
        <v>41</v>
      </c>
      <c r="C92" s="79">
        <v>54233.502</v>
      </c>
      <c r="D92" s="132">
        <v>1.5E-3</v>
      </c>
      <c r="E92" s="10">
        <f t="shared" si="9"/>
        <v>26363.424657377476</v>
      </c>
      <c r="F92">
        <f t="shared" si="10"/>
        <v>26363.5</v>
      </c>
      <c r="G92" s="9">
        <f t="shared" si="11"/>
        <v>-2.6992095001332927E-2</v>
      </c>
      <c r="K92" s="9">
        <f t="shared" si="19"/>
        <v>-2.6992095001332927E-2</v>
      </c>
      <c r="Q92" s="11">
        <f t="shared" si="14"/>
        <v>39215.002</v>
      </c>
      <c r="R92"/>
      <c r="S92"/>
    </row>
    <row r="93" spans="1:19">
      <c r="A93" s="28" t="s">
        <v>160</v>
      </c>
      <c r="B93" s="74" t="s">
        <v>39</v>
      </c>
      <c r="C93" s="79">
        <v>54301.390500000001</v>
      </c>
      <c r="D93" s="132">
        <v>2E-3</v>
      </c>
      <c r="E93" s="10">
        <f t="shared" si="9"/>
        <v>26552.920790568875</v>
      </c>
      <c r="F93">
        <f t="shared" si="10"/>
        <v>26553</v>
      </c>
      <c r="G93" s="9">
        <f t="shared" si="11"/>
        <v>-2.8377410002576653E-2</v>
      </c>
      <c r="K93" s="9">
        <f t="shared" si="19"/>
        <v>-2.8377410002576653E-2</v>
      </c>
      <c r="Q93" s="11">
        <f t="shared" si="14"/>
        <v>39282.890500000001</v>
      </c>
      <c r="R93"/>
      <c r="S93" s="4"/>
    </row>
    <row r="94" spans="1:19">
      <c r="A94" s="28" t="s">
        <v>160</v>
      </c>
      <c r="B94" s="74" t="s">
        <v>39</v>
      </c>
      <c r="C94" s="79">
        <v>54539.633500000004</v>
      </c>
      <c r="D94" s="132">
        <v>5.0000000000000001E-4</v>
      </c>
      <c r="E94" s="10">
        <f t="shared" si="9"/>
        <v>27217.924837792172</v>
      </c>
      <c r="F94">
        <f t="shared" si="10"/>
        <v>27218</v>
      </c>
      <c r="G94" s="9">
        <f t="shared" si="11"/>
        <v>-2.6927459999569692E-2</v>
      </c>
      <c r="K94" s="9">
        <f t="shared" si="19"/>
        <v>-2.6927459999569692E-2</v>
      </c>
      <c r="Q94" s="11">
        <f t="shared" si="14"/>
        <v>39521.133500000004</v>
      </c>
      <c r="R94"/>
      <c r="S94"/>
    </row>
    <row r="95" spans="1:19">
      <c r="A95" s="28" t="s">
        <v>160</v>
      </c>
      <c r="B95" s="74" t="s">
        <v>41</v>
      </c>
      <c r="C95" s="79">
        <v>54644.423999999999</v>
      </c>
      <c r="D95" s="132">
        <v>1E-3</v>
      </c>
      <c r="E95" s="10">
        <f t="shared" si="9"/>
        <v>27510.42495998065</v>
      </c>
      <c r="F95">
        <f t="shared" si="10"/>
        <v>27510.5</v>
      </c>
      <c r="G95" s="9">
        <f t="shared" si="11"/>
        <v>-2.6883685000939295E-2</v>
      </c>
      <c r="K95" s="9">
        <f t="shared" si="19"/>
        <v>-2.6883685000939295E-2</v>
      </c>
      <c r="Q95" s="11">
        <f t="shared" si="14"/>
        <v>39625.923999999999</v>
      </c>
      <c r="R95"/>
      <c r="S95" s="4"/>
    </row>
    <row r="96" spans="1:19">
      <c r="A96" s="28" t="s">
        <v>160</v>
      </c>
      <c r="B96" s="74" t="s">
        <v>39</v>
      </c>
      <c r="C96" s="79">
        <v>54646.394999999997</v>
      </c>
      <c r="D96" s="132">
        <v>2.9999999999999997E-4</v>
      </c>
      <c r="E96" s="10">
        <f t="shared" si="9"/>
        <v>27515.926582177632</v>
      </c>
      <c r="F96">
        <f t="shared" si="10"/>
        <v>27516</v>
      </c>
      <c r="G96" s="9">
        <f t="shared" si="11"/>
        <v>-2.6302520003810059E-2</v>
      </c>
      <c r="K96" s="9">
        <f t="shared" si="19"/>
        <v>-2.6302520003810059E-2</v>
      </c>
      <c r="Q96" s="11">
        <f t="shared" si="14"/>
        <v>39627.894999999997</v>
      </c>
      <c r="R96"/>
      <c r="S96"/>
    </row>
    <row r="97" spans="1:19">
      <c r="A97" s="28" t="s">
        <v>160</v>
      </c>
      <c r="B97" s="74" t="s">
        <v>39</v>
      </c>
      <c r="C97" s="79">
        <v>54656.426500000001</v>
      </c>
      <c r="D97" s="132">
        <v>1.5E-3</v>
      </c>
      <c r="E97" s="10">
        <f t="shared" si="9"/>
        <v>27543.927354916908</v>
      </c>
      <c r="F97">
        <f t="shared" si="10"/>
        <v>27544</v>
      </c>
      <c r="G97" s="9">
        <f t="shared" si="11"/>
        <v>-2.6025679995655082E-2</v>
      </c>
      <c r="K97" s="9">
        <f t="shared" si="19"/>
        <v>-2.6025679995655082E-2</v>
      </c>
      <c r="Q97" s="11">
        <f t="shared" si="14"/>
        <v>39637.926500000001</v>
      </c>
      <c r="R97"/>
      <c r="S97"/>
    </row>
    <row r="98" spans="1:19">
      <c r="A98" s="99" t="s">
        <v>182</v>
      </c>
      <c r="B98" s="97" t="s">
        <v>39</v>
      </c>
      <c r="C98" s="100">
        <v>54667.352200000001</v>
      </c>
      <c r="D98" s="100">
        <v>1E-4</v>
      </c>
      <c r="E98" s="10">
        <f t="shared" si="9"/>
        <v>27574.424094459086</v>
      </c>
      <c r="F98">
        <f t="shared" si="10"/>
        <v>27574.5</v>
      </c>
      <c r="G98" s="9">
        <f t="shared" si="11"/>
        <v>-2.719376500317594E-2</v>
      </c>
      <c r="K98" s="9">
        <f t="shared" si="19"/>
        <v>-2.719376500317594E-2</v>
      </c>
      <c r="Q98" s="11">
        <f t="shared" si="14"/>
        <v>39648.852200000001</v>
      </c>
      <c r="R98"/>
      <c r="S98"/>
    </row>
    <row r="99" spans="1:19">
      <c r="A99" s="123" t="s">
        <v>125</v>
      </c>
      <c r="B99" s="124" t="s">
        <v>41</v>
      </c>
      <c r="C99" s="123">
        <v>54667.3531</v>
      </c>
      <c r="D99" s="123">
        <v>6.9999999999999999E-4</v>
      </c>
      <c r="E99" s="10">
        <f t="shared" si="9"/>
        <v>27574.42660661534</v>
      </c>
      <c r="F99">
        <f t="shared" si="10"/>
        <v>27574.5</v>
      </c>
      <c r="G99" s="9">
        <f t="shared" si="11"/>
        <v>-2.629376500408398E-2</v>
      </c>
      <c r="K99" s="9">
        <f t="shared" si="19"/>
        <v>-2.629376500408398E-2</v>
      </c>
      <c r="Q99" s="11">
        <f t="shared" si="14"/>
        <v>39648.8531</v>
      </c>
      <c r="R99"/>
      <c r="S99" s="4"/>
    </row>
    <row r="100" spans="1:19">
      <c r="A100" s="28" t="s">
        <v>160</v>
      </c>
      <c r="B100" s="74" t="s">
        <v>39</v>
      </c>
      <c r="C100" s="79">
        <v>54894.668599999997</v>
      </c>
      <c r="D100" s="79"/>
      <c r="E100" s="10">
        <f t="shared" si="9"/>
        <v>28208.92888998393</v>
      </c>
      <c r="F100">
        <f t="shared" si="10"/>
        <v>28209</v>
      </c>
      <c r="G100" s="9">
        <f t="shared" si="11"/>
        <v>-2.5475730006291997E-2</v>
      </c>
      <c r="K100" s="9">
        <f t="shared" si="19"/>
        <v>-2.5475730006291997E-2</v>
      </c>
      <c r="Q100" s="11">
        <f t="shared" si="14"/>
        <v>39876.168599999997</v>
      </c>
      <c r="R100"/>
      <c r="S100" s="4"/>
    </row>
    <row r="101" spans="1:19">
      <c r="A101" s="28" t="s">
        <v>160</v>
      </c>
      <c r="B101" s="74" t="s">
        <v>41</v>
      </c>
      <c r="C101" s="79">
        <v>54971.514000000003</v>
      </c>
      <c r="D101" s="79"/>
      <c r="E101" s="10">
        <f t="shared" si="9"/>
        <v>28423.426281346936</v>
      </c>
      <c r="F101">
        <f t="shared" si="10"/>
        <v>28423.5</v>
      </c>
      <c r="G101" s="9">
        <f t="shared" si="11"/>
        <v>-2.6410294995002914E-2</v>
      </c>
      <c r="K101" s="9">
        <f t="shared" si="19"/>
        <v>-2.6410294995002914E-2</v>
      </c>
      <c r="Q101" s="11">
        <f t="shared" si="14"/>
        <v>39953.014000000003</v>
      </c>
      <c r="R101"/>
      <c r="S101"/>
    </row>
    <row r="102" spans="1:19">
      <c r="A102" s="123" t="s">
        <v>180</v>
      </c>
      <c r="B102" s="124" t="s">
        <v>41</v>
      </c>
      <c r="C102" s="123">
        <v>55652.909099999997</v>
      </c>
      <c r="D102" s="123">
        <v>5.9999999999999995E-4</v>
      </c>
      <c r="E102" s="10">
        <f t="shared" si="9"/>
        <v>30325.394017054237</v>
      </c>
      <c r="F102">
        <f t="shared" si="10"/>
        <v>30325.5</v>
      </c>
      <c r="G102" s="9">
        <f t="shared" si="11"/>
        <v>-3.7969235003401991E-2</v>
      </c>
      <c r="K102" s="9">
        <f t="shared" si="19"/>
        <v>-3.7969235003401991E-2</v>
      </c>
      <c r="Q102" s="11">
        <f t="shared" si="14"/>
        <v>40634.409099999997</v>
      </c>
      <c r="R102"/>
      <c r="S102" s="4"/>
    </row>
    <row r="103" spans="1:19">
      <c r="A103" s="75" t="s">
        <v>185</v>
      </c>
      <c r="B103" s="74" t="s">
        <v>41</v>
      </c>
      <c r="C103" s="157">
        <v>56016.900699999998</v>
      </c>
      <c r="D103" s="75">
        <v>1E-4</v>
      </c>
      <c r="E103" s="10">
        <f t="shared" si="9"/>
        <v>31341.398210903717</v>
      </c>
      <c r="F103">
        <f t="shared" si="10"/>
        <v>31341.5</v>
      </c>
      <c r="G103" s="9">
        <f t="shared" si="11"/>
        <v>-3.6466755002038553E-2</v>
      </c>
      <c r="K103" s="9">
        <f t="shared" si="19"/>
        <v>-3.6466755002038553E-2</v>
      </c>
      <c r="Q103" s="11">
        <f t="shared" si="14"/>
        <v>40998.400699999998</v>
      </c>
      <c r="R103"/>
      <c r="S103" s="4"/>
    </row>
    <row r="104" spans="1:19">
      <c r="A104" s="99" t="s">
        <v>192</v>
      </c>
      <c r="B104" s="97" t="s">
        <v>41</v>
      </c>
      <c r="C104" s="100">
        <v>56067.413800000002</v>
      </c>
      <c r="D104" s="100">
        <v>2.9999999999999997E-4</v>
      </c>
      <c r="E104" s="10">
        <f t="shared" si="9"/>
        <v>31482.394655448981</v>
      </c>
      <c r="F104" s="161">
        <f t="shared" si="10"/>
        <v>31482.5</v>
      </c>
      <c r="G104" s="9">
        <f t="shared" si="11"/>
        <v>-3.7740524996479508E-2</v>
      </c>
      <c r="K104" s="9">
        <f>+G104</f>
        <v>-3.7740524996479508E-2</v>
      </c>
      <c r="O104" s="9">
        <f>+C$11+C$12*F104</f>
        <v>0</v>
      </c>
      <c r="Q104" s="11">
        <f t="shared" si="14"/>
        <v>41048.913800000002</v>
      </c>
      <c r="R104"/>
      <c r="S104" s="4"/>
    </row>
    <row r="105" spans="1:19">
      <c r="A105" s="99" t="s">
        <v>192</v>
      </c>
      <c r="B105" s="97" t="s">
        <v>41</v>
      </c>
      <c r="C105" s="100">
        <v>56067.413860000001</v>
      </c>
      <c r="D105" s="100">
        <v>2.0000000000000001E-4</v>
      </c>
      <c r="E105" s="10">
        <f t="shared" si="9"/>
        <v>31482.39482292606</v>
      </c>
      <c r="F105" s="161">
        <f t="shared" ref="F105:F122" si="20">ROUND(2*E105,0)/2</f>
        <v>31482.5</v>
      </c>
      <c r="G105" s="9">
        <f t="shared" ref="G105:G122" si="21">+C105-(C$7+F105*C$8)</f>
        <v>-3.7680524997995235E-2</v>
      </c>
      <c r="K105" s="9">
        <f>+G105</f>
        <v>-3.7680524997995235E-2</v>
      </c>
      <c r="O105" s="9">
        <f>+C$11+C$12*F105</f>
        <v>0</v>
      </c>
      <c r="Q105" s="11">
        <f t="shared" si="14"/>
        <v>41048.913860000001</v>
      </c>
      <c r="R105"/>
      <c r="S105"/>
    </row>
    <row r="106" spans="1:19">
      <c r="A106" s="99" t="s">
        <v>192</v>
      </c>
      <c r="B106" s="97" t="s">
        <v>41</v>
      </c>
      <c r="C106" s="100">
        <v>56067.414049999999</v>
      </c>
      <c r="D106" s="100">
        <v>2.9999999999999997E-4</v>
      </c>
      <c r="E106" s="10">
        <f t="shared" si="9"/>
        <v>31482.395353270156</v>
      </c>
      <c r="F106" s="161">
        <f t="shared" si="20"/>
        <v>31482.5</v>
      </c>
      <c r="G106" s="9">
        <f t="shared" si="21"/>
        <v>-3.749052499915706E-2</v>
      </c>
      <c r="K106" s="9">
        <f>+G106</f>
        <v>-3.749052499915706E-2</v>
      </c>
      <c r="O106" s="9">
        <f>+C$11+C$12*F106</f>
        <v>0</v>
      </c>
      <c r="Q106" s="11">
        <f t="shared" si="14"/>
        <v>41048.914049999999</v>
      </c>
      <c r="R106"/>
      <c r="S106" s="4"/>
    </row>
    <row r="107" spans="1:19">
      <c r="A107" s="99" t="s">
        <v>192</v>
      </c>
      <c r="B107" s="97" t="s">
        <v>41</v>
      </c>
      <c r="C107" s="100">
        <v>56067.414640000003</v>
      </c>
      <c r="D107" s="100">
        <v>2.0000000000000001E-4</v>
      </c>
      <c r="E107" s="10">
        <f t="shared" si="9"/>
        <v>31482.397000128152</v>
      </c>
      <c r="F107" s="161">
        <f t="shared" si="20"/>
        <v>31482.5</v>
      </c>
      <c r="G107" s="9">
        <f t="shared" si="21"/>
        <v>-3.690052499587182E-2</v>
      </c>
      <c r="K107" s="9">
        <f>+G107</f>
        <v>-3.690052499587182E-2</v>
      </c>
      <c r="O107" s="9">
        <f>+C$11+C$12*F107</f>
        <v>0</v>
      </c>
      <c r="Q107" s="11">
        <f t="shared" si="14"/>
        <v>41048.914640000003</v>
      </c>
      <c r="R107"/>
      <c r="S107" s="4"/>
    </row>
    <row r="108" spans="1:19">
      <c r="A108" s="75" t="s">
        <v>185</v>
      </c>
      <c r="B108" s="74" t="s">
        <v>39</v>
      </c>
      <c r="C108" s="157">
        <v>56093.743999999999</v>
      </c>
      <c r="D108" s="75">
        <v>4.0000000000000002E-4</v>
      </c>
      <c r="E108" s="10">
        <f t="shared" si="9"/>
        <v>31555.889740568782</v>
      </c>
      <c r="F108" s="161">
        <f t="shared" si="20"/>
        <v>31556</v>
      </c>
      <c r="G108" s="9">
        <f t="shared" si="21"/>
        <v>-3.9501320003182627E-2</v>
      </c>
      <c r="K108" s="9">
        <f>G108</f>
        <v>-3.9501320003182627E-2</v>
      </c>
      <c r="Q108" s="11">
        <f t="shared" si="14"/>
        <v>41075.243999999999</v>
      </c>
      <c r="R108"/>
      <c r="S108" s="4"/>
    </row>
    <row r="109" spans="1:19">
      <c r="A109" s="140" t="s">
        <v>298</v>
      </c>
      <c r="B109" s="141" t="s">
        <v>39</v>
      </c>
      <c r="C109" s="142">
        <v>51306.023000000001</v>
      </c>
      <c r="D109" s="196" t="s">
        <v>181</v>
      </c>
      <c r="E109" s="10">
        <f t="shared" ref="E109:E122" si="22">+(C109-C$7)/C$8</f>
        <v>18191.997235958213</v>
      </c>
      <c r="F109">
        <f t="shared" si="20"/>
        <v>18192</v>
      </c>
      <c r="G109" s="9">
        <f t="shared" si="21"/>
        <v>-9.902399979182519E-4</v>
      </c>
      <c r="K109" s="9">
        <f t="shared" ref="K109:K122" si="23">+G109</f>
        <v>-9.902399979182519E-4</v>
      </c>
      <c r="O109" s="9">
        <f t="shared" ref="O109:O122" si="24">+C$11+C$12*F109</f>
        <v>0</v>
      </c>
      <c r="P109" s="9">
        <f t="shared" ref="P109:P122" si="25">+D$11+D$12*F109+D$13*F109^2</f>
        <v>0</v>
      </c>
      <c r="Q109" s="11">
        <f t="shared" ref="Q109:Q122" si="26">+C109-15018.5</f>
        <v>36287.523000000001</v>
      </c>
      <c r="R109">
        <f t="shared" ref="R109:R122" si="27">+(P109-G109)^2</f>
        <v>9.8057525347713948E-7</v>
      </c>
      <c r="S109" s="4"/>
    </row>
    <row r="110" spans="1:19">
      <c r="A110" s="140" t="s">
        <v>298</v>
      </c>
      <c r="B110" s="141" t="s">
        <v>39</v>
      </c>
      <c r="C110" s="142">
        <v>51311.042999999998</v>
      </c>
      <c r="D110" s="196" t="s">
        <v>181</v>
      </c>
      <c r="E110" s="10">
        <f t="shared" si="22"/>
        <v>18206.009485287927</v>
      </c>
      <c r="F110">
        <f t="shared" si="20"/>
        <v>18206</v>
      </c>
      <c r="G110" s="9">
        <f t="shared" si="21"/>
        <v>3.3981800006586127E-3</v>
      </c>
      <c r="K110" s="9">
        <f t="shared" si="23"/>
        <v>3.3981800006586127E-3</v>
      </c>
      <c r="O110" s="9">
        <f t="shared" si="24"/>
        <v>0</v>
      </c>
      <c r="P110" s="9">
        <f t="shared" si="25"/>
        <v>0</v>
      </c>
      <c r="Q110" s="11">
        <f t="shared" si="26"/>
        <v>36292.542999999998</v>
      </c>
      <c r="R110">
        <f t="shared" si="27"/>
        <v>1.1547627316876169E-5</v>
      </c>
      <c r="S110" s="4"/>
    </row>
    <row r="111" spans="1:19">
      <c r="A111" s="140" t="s">
        <v>298</v>
      </c>
      <c r="B111" s="141" t="s">
        <v>39</v>
      </c>
      <c r="C111" s="142">
        <v>51316.063999999998</v>
      </c>
      <c r="D111" s="196" t="s">
        <v>181</v>
      </c>
      <c r="E111" s="10">
        <f t="shared" si="22"/>
        <v>18220.024525902376</v>
      </c>
      <c r="F111">
        <f t="shared" si="20"/>
        <v>18220</v>
      </c>
      <c r="G111" s="9">
        <f t="shared" si="21"/>
        <v>8.7865999958012253E-3</v>
      </c>
      <c r="K111" s="9">
        <f t="shared" si="23"/>
        <v>8.7865999958012253E-3</v>
      </c>
      <c r="O111" s="9">
        <f t="shared" si="24"/>
        <v>0</v>
      </c>
      <c r="P111" s="9">
        <f t="shared" si="25"/>
        <v>0</v>
      </c>
      <c r="Q111" s="11">
        <f t="shared" si="26"/>
        <v>36297.563999999998</v>
      </c>
      <c r="R111">
        <f t="shared" si="27"/>
        <v>7.7204339486214098E-5</v>
      </c>
      <c r="S111" s="4"/>
    </row>
    <row r="112" spans="1:19">
      <c r="A112" s="140" t="s">
        <v>298</v>
      </c>
      <c r="B112" s="141" t="s">
        <v>39</v>
      </c>
      <c r="C112" s="142">
        <v>51331.101000000002</v>
      </c>
      <c r="D112" s="196" t="s">
        <v>181</v>
      </c>
      <c r="E112" s="10">
        <f t="shared" si="22"/>
        <v>18261.997074342831</v>
      </c>
      <c r="F112">
        <f t="shared" si="20"/>
        <v>18262</v>
      </c>
      <c r="G112" s="9">
        <f t="shared" si="21"/>
        <v>-1.0481400022399612E-3</v>
      </c>
      <c r="K112" s="9">
        <f t="shared" si="23"/>
        <v>-1.0481400022399612E-3</v>
      </c>
      <c r="O112" s="9">
        <f t="shared" si="24"/>
        <v>0</v>
      </c>
      <c r="P112" s="9">
        <f t="shared" si="25"/>
        <v>0</v>
      </c>
      <c r="Q112" s="11">
        <f t="shared" si="26"/>
        <v>36312.601000000002</v>
      </c>
      <c r="R112">
        <f t="shared" si="27"/>
        <v>1.0985974642955858E-6</v>
      </c>
      <c r="S112" s="4"/>
    </row>
    <row r="113" spans="1:19">
      <c r="A113" s="140" t="s">
        <v>312</v>
      </c>
      <c r="B113" s="141" t="s">
        <v>39</v>
      </c>
      <c r="C113" s="142">
        <v>52761.080600000001</v>
      </c>
      <c r="D113" s="196" t="s">
        <v>181</v>
      </c>
      <c r="E113" s="10">
        <f t="shared" si="22"/>
        <v>22253.477291796189</v>
      </c>
      <c r="F113">
        <f t="shared" si="20"/>
        <v>22253.5</v>
      </c>
      <c r="G113" s="9">
        <f t="shared" si="21"/>
        <v>-8.1353950008633547E-3</v>
      </c>
      <c r="K113" s="9">
        <f t="shared" si="23"/>
        <v>-8.1353950008633547E-3</v>
      </c>
      <c r="O113" s="9">
        <f t="shared" si="24"/>
        <v>0</v>
      </c>
      <c r="P113" s="9">
        <f t="shared" si="25"/>
        <v>0</v>
      </c>
      <c r="Q113" s="11">
        <f t="shared" si="26"/>
        <v>37742.580600000001</v>
      </c>
      <c r="R113">
        <f t="shared" si="27"/>
        <v>6.6184651820072461E-5</v>
      </c>
      <c r="S113" s="4"/>
    </row>
    <row r="114" spans="1:19">
      <c r="A114" s="140" t="s">
        <v>312</v>
      </c>
      <c r="B114" s="141" t="s">
        <v>41</v>
      </c>
      <c r="C114" s="142">
        <v>52763.05</v>
      </c>
      <c r="D114" s="196" t="s">
        <v>181</v>
      </c>
      <c r="E114" s="10">
        <f t="shared" si="22"/>
        <v>22258.97444793762</v>
      </c>
      <c r="F114">
        <f t="shared" si="20"/>
        <v>22259</v>
      </c>
      <c r="G114" s="9">
        <f t="shared" si="21"/>
        <v>-9.1542299996945076E-3</v>
      </c>
      <c r="K114" s="9">
        <f t="shared" si="23"/>
        <v>-9.1542299996945076E-3</v>
      </c>
      <c r="O114" s="9">
        <f t="shared" si="24"/>
        <v>0</v>
      </c>
      <c r="P114" s="9">
        <f t="shared" si="25"/>
        <v>0</v>
      </c>
      <c r="Q114" s="11">
        <f t="shared" si="26"/>
        <v>37744.550000000003</v>
      </c>
      <c r="R114">
        <f t="shared" si="27"/>
        <v>8.3799926887306899E-5</v>
      </c>
      <c r="S114" s="4"/>
    </row>
    <row r="115" spans="1:19">
      <c r="A115" s="140" t="s">
        <v>357</v>
      </c>
      <c r="B115" s="141" t="s">
        <v>41</v>
      </c>
      <c r="C115" s="142">
        <v>53858.241399999999</v>
      </c>
      <c r="D115" s="196" t="s">
        <v>181</v>
      </c>
      <c r="E115" s="10">
        <f t="shared" si="22"/>
        <v>25315.965475939021</v>
      </c>
      <c r="F115">
        <f t="shared" si="20"/>
        <v>25316</v>
      </c>
      <c r="G115" s="9">
        <f t="shared" si="21"/>
        <v>-1.2368520001473371E-2</v>
      </c>
      <c r="K115" s="9">
        <f t="shared" si="23"/>
        <v>-1.2368520001473371E-2</v>
      </c>
      <c r="O115" s="9">
        <f t="shared" si="24"/>
        <v>0</v>
      </c>
      <c r="P115" s="9">
        <f t="shared" si="25"/>
        <v>0</v>
      </c>
      <c r="Q115" s="11">
        <f t="shared" si="26"/>
        <v>38839.741399999999</v>
      </c>
      <c r="R115">
        <f t="shared" si="27"/>
        <v>1.5298028702684683E-4</v>
      </c>
      <c r="S115" s="4"/>
    </row>
    <row r="116" spans="1:19">
      <c r="A116" s="140" t="s">
        <v>357</v>
      </c>
      <c r="B116" s="141" t="s">
        <v>41</v>
      </c>
      <c r="C116" s="142">
        <v>53860.0311</v>
      </c>
      <c r="D116" s="196" t="s">
        <v>181</v>
      </c>
      <c r="E116" s="10">
        <f t="shared" si="22"/>
        <v>25320.961038215002</v>
      </c>
      <c r="F116">
        <f t="shared" si="20"/>
        <v>25321</v>
      </c>
      <c r="G116" s="9">
        <f t="shared" si="21"/>
        <v>-1.3958370000182185E-2</v>
      </c>
      <c r="K116" s="9">
        <f t="shared" si="23"/>
        <v>-1.3958370000182185E-2</v>
      </c>
      <c r="O116" s="9">
        <f t="shared" si="24"/>
        <v>0</v>
      </c>
      <c r="P116" s="9">
        <f t="shared" si="25"/>
        <v>0</v>
      </c>
      <c r="Q116" s="11">
        <f t="shared" si="26"/>
        <v>38841.5311</v>
      </c>
      <c r="R116">
        <f t="shared" si="27"/>
        <v>1.9483609306198603E-4</v>
      </c>
      <c r="S116" s="4"/>
    </row>
    <row r="117" spans="1:19">
      <c r="A117" s="140" t="s">
        <v>368</v>
      </c>
      <c r="B117" s="141" t="s">
        <v>41</v>
      </c>
      <c r="C117" s="142">
        <v>54571.160100000001</v>
      </c>
      <c r="D117" s="196" t="s">
        <v>181</v>
      </c>
      <c r="E117" s="10">
        <f t="shared" si="22"/>
        <v>27305.924554867546</v>
      </c>
      <c r="F117">
        <f t="shared" si="20"/>
        <v>27306</v>
      </c>
      <c r="G117" s="9">
        <f t="shared" si="21"/>
        <v>-2.702881999721285E-2</v>
      </c>
      <c r="K117" s="9">
        <f t="shared" si="23"/>
        <v>-2.702881999721285E-2</v>
      </c>
      <c r="O117" s="9">
        <f t="shared" si="24"/>
        <v>0</v>
      </c>
      <c r="P117" s="9">
        <f t="shared" si="25"/>
        <v>0</v>
      </c>
      <c r="Q117" s="11">
        <f t="shared" si="26"/>
        <v>39552.660100000001</v>
      </c>
      <c r="R117">
        <f t="shared" si="27"/>
        <v>7.3055711044173318E-4</v>
      </c>
      <c r="S117" s="4"/>
    </row>
    <row r="118" spans="1:19">
      <c r="A118" s="140" t="s">
        <v>384</v>
      </c>
      <c r="B118" s="141" t="s">
        <v>39</v>
      </c>
      <c r="C118" s="142">
        <v>54920.283100000001</v>
      </c>
      <c r="D118" s="196" t="s">
        <v>181</v>
      </c>
      <c r="E118" s="10">
        <f t="shared" si="22"/>
        <v>28280.426252624609</v>
      </c>
      <c r="F118">
        <f t="shared" si="20"/>
        <v>28280.5</v>
      </c>
      <c r="G118" s="9">
        <f t="shared" si="21"/>
        <v>-2.64205849962309E-2</v>
      </c>
      <c r="K118" s="9">
        <f t="shared" si="23"/>
        <v>-2.64205849962309E-2</v>
      </c>
      <c r="O118" s="9">
        <f t="shared" si="24"/>
        <v>0</v>
      </c>
      <c r="P118" s="9">
        <f t="shared" si="25"/>
        <v>0</v>
      </c>
      <c r="Q118" s="11">
        <f t="shared" si="26"/>
        <v>39901.783100000001</v>
      </c>
      <c r="R118">
        <f t="shared" si="27"/>
        <v>6.9804731154306135E-4</v>
      </c>
      <c r="S118" s="4"/>
    </row>
    <row r="119" spans="1:19">
      <c r="A119" s="140" t="s">
        <v>384</v>
      </c>
      <c r="B119" s="141" t="s">
        <v>39</v>
      </c>
      <c r="C119" s="142">
        <v>54951.092799999999</v>
      </c>
      <c r="D119" s="196" t="s">
        <v>181</v>
      </c>
      <c r="E119" s="10">
        <f t="shared" si="22"/>
        <v>28366.424897679171</v>
      </c>
      <c r="F119">
        <f t="shared" si="20"/>
        <v>28366.5</v>
      </c>
      <c r="G119" s="9">
        <f t="shared" si="21"/>
        <v>-2.6906005005002953E-2</v>
      </c>
      <c r="K119" s="9">
        <f t="shared" si="23"/>
        <v>-2.6906005005002953E-2</v>
      </c>
      <c r="O119" s="9">
        <f t="shared" si="24"/>
        <v>0</v>
      </c>
      <c r="P119" s="9">
        <f t="shared" si="25"/>
        <v>0</v>
      </c>
      <c r="Q119" s="11">
        <f t="shared" si="26"/>
        <v>39932.592799999999</v>
      </c>
      <c r="R119">
        <f t="shared" si="27"/>
        <v>7.2393310532924398E-4</v>
      </c>
      <c r="S119" s="4"/>
    </row>
    <row r="120" spans="1:19">
      <c r="A120" s="140" t="s">
        <v>393</v>
      </c>
      <c r="B120" s="141" t="s">
        <v>41</v>
      </c>
      <c r="C120" s="142">
        <v>55318.118300000002</v>
      </c>
      <c r="D120" s="196" t="s">
        <v>181</v>
      </c>
      <c r="E120" s="10">
        <f t="shared" si="22"/>
        <v>29390.897570262012</v>
      </c>
      <c r="F120">
        <f t="shared" si="20"/>
        <v>29391</v>
      </c>
      <c r="G120" s="9">
        <f t="shared" si="21"/>
        <v>-3.6696269999083597E-2</v>
      </c>
      <c r="K120" s="9">
        <f t="shared" si="23"/>
        <v>-3.6696269999083597E-2</v>
      </c>
      <c r="O120" s="9">
        <f t="shared" si="24"/>
        <v>0</v>
      </c>
      <c r="P120" s="9">
        <f t="shared" si="25"/>
        <v>0</v>
      </c>
      <c r="Q120" s="11">
        <f t="shared" si="26"/>
        <v>40299.618300000002</v>
      </c>
      <c r="R120">
        <f t="shared" si="27"/>
        <v>1.3466162318456429E-3</v>
      </c>
      <c r="S120" s="4"/>
    </row>
    <row r="121" spans="1:19">
      <c r="A121" s="140" t="s">
        <v>393</v>
      </c>
      <c r="B121" s="141" t="s">
        <v>41</v>
      </c>
      <c r="C121" s="142">
        <v>55350.003599999996</v>
      </c>
      <c r="D121" s="196" t="s">
        <v>181</v>
      </c>
      <c r="E121" s="10">
        <f t="shared" si="22"/>
        <v>29479.898521168965</v>
      </c>
      <c r="F121">
        <f t="shared" si="20"/>
        <v>29480</v>
      </c>
      <c r="G121" s="9">
        <f t="shared" si="21"/>
        <v>-3.6355600008391775E-2</v>
      </c>
      <c r="K121" s="9">
        <f t="shared" si="23"/>
        <v>-3.6355600008391775E-2</v>
      </c>
      <c r="O121" s="9">
        <f t="shared" si="24"/>
        <v>0</v>
      </c>
      <c r="P121" s="9">
        <f t="shared" si="25"/>
        <v>0</v>
      </c>
      <c r="Q121" s="11">
        <f t="shared" si="26"/>
        <v>40331.503599999996</v>
      </c>
      <c r="R121">
        <f t="shared" si="27"/>
        <v>1.321729651970176E-3</v>
      </c>
      <c r="S121" s="4"/>
    </row>
    <row r="122" spans="1:19">
      <c r="A122" s="140" t="s">
        <v>413</v>
      </c>
      <c r="B122" s="141" t="s">
        <v>39</v>
      </c>
      <c r="C122" s="142">
        <v>56053.082900000001</v>
      </c>
      <c r="D122" s="197" t="s">
        <v>181</v>
      </c>
      <c r="E122" s="10">
        <f t="shared" si="22"/>
        <v>31442.393033154294</v>
      </c>
      <c r="F122">
        <f t="shared" si="20"/>
        <v>31442.5</v>
      </c>
      <c r="G122" s="9">
        <f t="shared" si="21"/>
        <v>-3.8321724998240825E-2</v>
      </c>
      <c r="K122" s="9">
        <f t="shared" si="23"/>
        <v>-3.8321724998240825E-2</v>
      </c>
      <c r="O122" s="9">
        <f t="shared" si="24"/>
        <v>0</v>
      </c>
      <c r="P122" s="9">
        <f t="shared" si="25"/>
        <v>0</v>
      </c>
      <c r="Q122" s="11">
        <f t="shared" si="26"/>
        <v>41034.582900000001</v>
      </c>
      <c r="R122">
        <f t="shared" si="27"/>
        <v>1.4685546068407957E-3</v>
      </c>
      <c r="S122" s="4"/>
    </row>
    <row r="123" spans="1:19">
      <c r="C123" s="14"/>
      <c r="D123" s="14"/>
      <c r="R123"/>
      <c r="S123" s="4"/>
    </row>
    <row r="124" spans="1:19">
      <c r="C124" s="14"/>
      <c r="D124" s="14"/>
      <c r="R124"/>
      <c r="S124" s="4"/>
    </row>
    <row r="125" spans="1:19">
      <c r="C125" s="14"/>
      <c r="D125" s="14"/>
      <c r="R125"/>
      <c r="S125" s="4"/>
    </row>
    <row r="126" spans="1:19">
      <c r="C126" s="14"/>
      <c r="D126" s="14"/>
      <c r="R126"/>
      <c r="S126" s="4"/>
    </row>
    <row r="127" spans="1:19">
      <c r="C127" s="14"/>
      <c r="D127" s="14"/>
      <c r="R127"/>
    </row>
    <row r="128" spans="1:19">
      <c r="C128" s="14"/>
      <c r="D128" s="14"/>
      <c r="R128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U2538"/>
  <sheetViews>
    <sheetView workbookViewId="0">
      <selection activeCell="D28" sqref="D28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9.42578125" style="9" customWidth="1"/>
    <col min="5" max="5" width="16.42578125" style="10" customWidth="1"/>
    <col min="6" max="6" width="11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" style="9" customWidth="1"/>
    <col min="14" max="14" width="7.140625" style="9" bestFit="1" customWidth="1"/>
    <col min="15" max="15" width="7" style="9" bestFit="1" customWidth="1"/>
    <col min="16" max="16" width="15.28515625" style="9" customWidth="1"/>
    <col min="17" max="18" width="10.42578125" style="11" customWidth="1"/>
    <col min="19" max="19" width="8.140625" style="11" customWidth="1"/>
  </cols>
  <sheetData>
    <row r="1" spans="1:21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R1"/>
      <c r="S1"/>
      <c r="T1" s="7" t="s">
        <v>13</v>
      </c>
      <c r="U1" s="7" t="s">
        <v>134</v>
      </c>
    </row>
    <row r="2" spans="1:21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  <c r="S2"/>
      <c r="T2">
        <v>-50000</v>
      </c>
      <c r="U2" s="38">
        <f t="shared" ref="U2:U32" si="0">C$15+C$16*T2+C$17*SIN(RADIANS(C$18)*T2+RADIANS(C$19))</f>
        <v>-2.4116646712860732E-3</v>
      </c>
    </row>
    <row r="3" spans="1:21" ht="13.5" thickBot="1">
      <c r="A3" s="87" t="s">
        <v>126</v>
      </c>
      <c r="C3"/>
      <c r="D3"/>
      <c r="E3"/>
      <c r="G3"/>
      <c r="H3"/>
      <c r="I3"/>
      <c r="J3"/>
      <c r="K3"/>
      <c r="L3"/>
      <c r="M3"/>
      <c r="N3"/>
      <c r="O3"/>
      <c r="P3"/>
      <c r="Q3"/>
      <c r="R3"/>
      <c r="S3"/>
      <c r="T3">
        <v>-47000</v>
      </c>
      <c r="U3" s="38">
        <f t="shared" si="0"/>
        <v>-1.2245417502814967E-2</v>
      </c>
    </row>
    <row r="4" spans="1:21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F25</v>
      </c>
      <c r="G4" s="34" t="str">
        <f>"G"&amp;E5</f>
        <v>G25</v>
      </c>
      <c r="H4"/>
      <c r="I4"/>
      <c r="J4"/>
      <c r="K4"/>
      <c r="L4"/>
      <c r="M4"/>
      <c r="N4"/>
      <c r="O4"/>
      <c r="P4"/>
      <c r="Q4"/>
      <c r="R4"/>
      <c r="S4"/>
      <c r="T4">
        <v>-44000</v>
      </c>
      <c r="U4" s="38">
        <f t="shared" si="0"/>
        <v>-1.8576008529944024E-2</v>
      </c>
    </row>
    <row r="5" spans="1:21" ht="13.5" thickTop="1">
      <c r="A5" s="35" t="s">
        <v>48</v>
      </c>
      <c r="C5"/>
      <c r="D5"/>
      <c r="E5" s="36">
        <v>25</v>
      </c>
      <c r="G5"/>
      <c r="H5"/>
      <c r="I5"/>
      <c r="J5"/>
      <c r="K5"/>
      <c r="L5"/>
      <c r="M5"/>
      <c r="N5"/>
      <c r="O5"/>
      <c r="P5"/>
      <c r="Q5"/>
      <c r="R5"/>
      <c r="S5"/>
      <c r="T5">
        <v>-41000</v>
      </c>
      <c r="U5" s="38">
        <f t="shared" si="0"/>
        <v>-1.9606286523095484E-2</v>
      </c>
    </row>
    <row r="6" spans="1:21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S6"/>
      <c r="T6">
        <v>-38000</v>
      </c>
      <c r="U6" s="38">
        <f t="shared" si="0"/>
        <v>-1.504370111303514E-2</v>
      </c>
    </row>
    <row r="7" spans="1:21">
      <c r="A7" t="s">
        <v>5</v>
      </c>
      <c r="C7" s="9">
        <v>44788.595000000001</v>
      </c>
      <c r="D7" s="34" t="s">
        <v>135</v>
      </c>
      <c r="E7"/>
      <c r="F7" s="9">
        <v>44788.595000000001</v>
      </c>
      <c r="G7"/>
      <c r="H7"/>
      <c r="I7"/>
      <c r="J7"/>
      <c r="K7"/>
      <c r="L7"/>
      <c r="M7"/>
      <c r="N7"/>
      <c r="O7"/>
      <c r="P7"/>
      <c r="Q7"/>
      <c r="R7"/>
      <c r="S7"/>
      <c r="T7">
        <v>-35000</v>
      </c>
      <c r="U7" s="38">
        <f t="shared" si="0"/>
        <v>-6.1833491193481098E-3</v>
      </c>
    </row>
    <row r="8" spans="1:21">
      <c r="A8" t="s">
        <v>6</v>
      </c>
      <c r="C8" s="12">
        <v>0.35825796999999998</v>
      </c>
      <c r="D8" s="34" t="s">
        <v>135</v>
      </c>
      <c r="E8"/>
      <c r="F8" s="12">
        <v>0.35825796999999998</v>
      </c>
      <c r="G8"/>
      <c r="H8"/>
      <c r="I8"/>
      <c r="J8"/>
      <c r="K8"/>
      <c r="L8"/>
      <c r="M8"/>
      <c r="N8"/>
      <c r="O8"/>
      <c r="P8"/>
      <c r="Q8"/>
      <c r="R8"/>
      <c r="S8"/>
      <c r="T8">
        <v>-32000</v>
      </c>
      <c r="U8" s="38">
        <f t="shared" si="0"/>
        <v>4.459664827930844E-3</v>
      </c>
    </row>
    <row r="9" spans="1:21">
      <c r="G9"/>
      <c r="H9"/>
      <c r="I9"/>
      <c r="J9"/>
      <c r="K9"/>
      <c r="L9"/>
      <c r="M9"/>
      <c r="N9"/>
      <c r="O9"/>
      <c r="P9"/>
      <c r="Q9"/>
      <c r="R9"/>
      <c r="S9"/>
      <c r="T9">
        <v>-29000</v>
      </c>
      <c r="U9" s="38">
        <f t="shared" si="0"/>
        <v>1.3864191513875064E-2</v>
      </c>
    </row>
    <row r="10" spans="1:21">
      <c r="A10" s="16"/>
      <c r="B10" s="16"/>
      <c r="C10" s="4"/>
      <c r="D10" s="4"/>
      <c r="E10" s="16"/>
      <c r="G10"/>
      <c r="H10"/>
      <c r="I10"/>
      <c r="J10"/>
      <c r="K10"/>
      <c r="L10"/>
      <c r="M10"/>
      <c r="N10"/>
      <c r="O10"/>
      <c r="P10"/>
      <c r="Q10"/>
      <c r="R10"/>
      <c r="S10"/>
      <c r="T10">
        <v>-26000</v>
      </c>
      <c r="U10" s="38">
        <f t="shared" si="0"/>
        <v>1.9360651335953161E-2</v>
      </c>
    </row>
    <row r="11" spans="1:21">
      <c r="A11" s="16"/>
      <c r="B11" s="16"/>
      <c r="C11" s="32"/>
      <c r="D11" s="89"/>
      <c r="E11" s="16"/>
      <c r="F11" s="38"/>
      <c r="H11"/>
      <c r="I11"/>
      <c r="J11"/>
      <c r="K11"/>
      <c r="L11"/>
      <c r="M11"/>
      <c r="N11"/>
      <c r="O11"/>
      <c r="P11"/>
      <c r="Q11"/>
      <c r="R11"/>
      <c r="S11"/>
      <c r="T11">
        <v>-23000</v>
      </c>
      <c r="U11" s="38">
        <f t="shared" si="0"/>
        <v>1.9388848369155966E-2</v>
      </c>
    </row>
    <row r="12" spans="1:21">
      <c r="A12" s="16"/>
      <c r="B12" s="16"/>
      <c r="C12" s="32"/>
      <c r="D12" s="89"/>
      <c r="E12" s="16"/>
      <c r="F12" s="38"/>
      <c r="G12"/>
      <c r="H12"/>
      <c r="I12"/>
      <c r="J12"/>
      <c r="K12"/>
      <c r="L12"/>
      <c r="M12"/>
      <c r="N12"/>
      <c r="O12"/>
      <c r="P12"/>
      <c r="Q12"/>
      <c r="R12"/>
      <c r="S12"/>
      <c r="T12">
        <v>-20000</v>
      </c>
      <c r="U12" s="38">
        <f t="shared" si="0"/>
        <v>1.3940863477408144E-2</v>
      </c>
    </row>
    <row r="13" spans="1:21">
      <c r="A13" s="16"/>
      <c r="B13" s="16"/>
      <c r="C13" s="4"/>
      <c r="D13" s="89"/>
      <c r="E13" s="16"/>
      <c r="F13" s="38"/>
      <c r="G13"/>
      <c r="H13"/>
      <c r="I13"/>
      <c r="J13"/>
      <c r="K13"/>
      <c r="L13"/>
      <c r="M13"/>
      <c r="N13"/>
      <c r="O13"/>
      <c r="P13"/>
      <c r="Q13"/>
      <c r="R13"/>
      <c r="S13"/>
      <c r="T13">
        <v>-17000</v>
      </c>
      <c r="U13" s="38">
        <f t="shared" si="0"/>
        <v>4.5633023202190422E-3</v>
      </c>
    </row>
    <row r="14" spans="1:21" ht="13.5" thickBot="1">
      <c r="A14" s="16"/>
      <c r="B14" s="16"/>
      <c r="C14" s="16"/>
      <c r="D14" s="16"/>
      <c r="E14" s="16"/>
      <c r="G14"/>
      <c r="H14"/>
      <c r="I14"/>
      <c r="J14"/>
      <c r="K14"/>
      <c r="L14"/>
      <c r="M14"/>
      <c r="N14"/>
      <c r="O14"/>
      <c r="P14"/>
      <c r="Q14"/>
      <c r="R14"/>
      <c r="S14"/>
      <c r="T14">
        <v>-14000</v>
      </c>
      <c r="U14" s="38">
        <f t="shared" si="0"/>
        <v>-6.0817398874989381E-3</v>
      </c>
    </row>
    <row r="15" spans="1:21">
      <c r="A15" s="16" t="s">
        <v>136</v>
      </c>
      <c r="C15" s="90">
        <v>1E-4</v>
      </c>
      <c r="E15" s="21"/>
      <c r="G15"/>
      <c r="H15"/>
      <c r="I15"/>
      <c r="J15"/>
      <c r="K15"/>
      <c r="L15"/>
      <c r="M15"/>
      <c r="N15"/>
      <c r="O15"/>
      <c r="P15"/>
      <c r="Q15"/>
      <c r="R15"/>
      <c r="S15"/>
      <c r="T15">
        <v>-11000</v>
      </c>
      <c r="U15" s="38">
        <f t="shared" si="0"/>
        <v>-1.4972367846032748E-2</v>
      </c>
    </row>
    <row r="16" spans="1:21">
      <c r="A16" s="16" t="s">
        <v>137</v>
      </c>
      <c r="C16" s="91">
        <v>1E-10</v>
      </c>
      <c r="E16" s="21"/>
      <c r="G16"/>
      <c r="H16"/>
      <c r="I16"/>
      <c r="J16"/>
      <c r="K16"/>
      <c r="L16"/>
      <c r="M16"/>
      <c r="N16"/>
      <c r="O16"/>
      <c r="P16"/>
      <c r="Q16"/>
      <c r="R16"/>
      <c r="S16"/>
      <c r="T16">
        <v>-8000</v>
      </c>
      <c r="U16" s="38">
        <f t="shared" si="0"/>
        <v>-1.9584712159384836E-2</v>
      </c>
    </row>
    <row r="17" spans="1:21">
      <c r="A17" s="16" t="s">
        <v>70</v>
      </c>
      <c r="C17" s="91">
        <v>0.02</v>
      </c>
      <c r="E17" s="24"/>
      <c r="G17"/>
      <c r="H17"/>
      <c r="I17"/>
      <c r="J17"/>
      <c r="K17"/>
      <c r="L17"/>
      <c r="M17"/>
      <c r="N17"/>
      <c r="O17"/>
      <c r="P17"/>
      <c r="Q17"/>
      <c r="R17"/>
      <c r="S17"/>
      <c r="T17">
        <v>-5000</v>
      </c>
      <c r="U17" s="38">
        <f t="shared" si="0"/>
        <v>-1.8609380616597351E-2</v>
      </c>
    </row>
    <row r="18" spans="1:21">
      <c r="A18" s="16" t="s">
        <v>138</v>
      </c>
      <c r="C18" s="91">
        <v>1.03E-2</v>
      </c>
      <c r="E18" s="27"/>
      <c r="G18"/>
      <c r="H18"/>
      <c r="I18"/>
      <c r="J18"/>
      <c r="K18"/>
      <c r="L18"/>
      <c r="M18"/>
      <c r="N18"/>
      <c r="O18"/>
      <c r="P18"/>
      <c r="Q18"/>
      <c r="R18"/>
      <c r="S18"/>
      <c r="T18">
        <v>-2000</v>
      </c>
      <c r="U18" s="38">
        <f t="shared" si="0"/>
        <v>-1.2323155605566212E-2</v>
      </c>
    </row>
    <row r="19" spans="1:21">
      <c r="A19" s="69" t="s">
        <v>139</v>
      </c>
      <c r="B19" s="16"/>
      <c r="C19" s="91">
        <v>342.2</v>
      </c>
      <c r="D19" s="16"/>
      <c r="E19" s="27"/>
      <c r="G19"/>
      <c r="H19"/>
      <c r="I19"/>
      <c r="J19"/>
      <c r="K19"/>
      <c r="L19"/>
      <c r="M19"/>
      <c r="N19"/>
      <c r="O19"/>
      <c r="P19"/>
      <c r="Q19"/>
      <c r="R19"/>
      <c r="S19"/>
      <c r="T19">
        <v>1000</v>
      </c>
      <c r="U19" s="38">
        <f t="shared" si="0"/>
        <v>-2.5104238444010338E-3</v>
      </c>
    </row>
    <row r="20" spans="1:21" ht="15.75" thickBot="1">
      <c r="A20" s="22" t="s">
        <v>140</v>
      </c>
      <c r="B20" s="16"/>
      <c r="C20" s="92">
        <v>0</v>
      </c>
      <c r="D20" s="16"/>
      <c r="E20" s="101" t="s">
        <v>146</v>
      </c>
      <c r="G20"/>
      <c r="H20"/>
      <c r="I20"/>
      <c r="J20"/>
      <c r="K20"/>
      <c r="L20"/>
      <c r="M20"/>
      <c r="N20"/>
      <c r="O20"/>
      <c r="P20"/>
      <c r="Q20"/>
      <c r="R20"/>
      <c r="S20"/>
      <c r="T20">
        <v>4000</v>
      </c>
      <c r="U20" s="38">
        <f t="shared" si="0"/>
        <v>8.0433578126955993E-3</v>
      </c>
    </row>
    <row r="21" spans="1:21">
      <c r="A21" s="22" t="s">
        <v>141</v>
      </c>
      <c r="B21" s="16"/>
      <c r="C21" s="93">
        <f>SUM(R41:R59)</f>
        <v>3.533277226208513E-2</v>
      </c>
      <c r="D21" s="16"/>
      <c r="E21" s="27"/>
      <c r="G21"/>
      <c r="H21"/>
      <c r="I21"/>
      <c r="J21"/>
      <c r="K21"/>
      <c r="L21"/>
      <c r="M21"/>
      <c r="N21"/>
      <c r="O21"/>
      <c r="P21"/>
      <c r="Q21"/>
      <c r="R21"/>
      <c r="S21"/>
      <c r="T21">
        <v>7000</v>
      </c>
      <c r="U21" s="38">
        <f t="shared" si="0"/>
        <v>1.6342370537836114E-2</v>
      </c>
    </row>
    <row r="22" spans="1:21">
      <c r="A22" s="22"/>
      <c r="B22" s="16"/>
      <c r="C22" s="16"/>
      <c r="D22" s="16"/>
      <c r="E22" s="27"/>
      <c r="G22"/>
      <c r="H22"/>
      <c r="I22"/>
      <c r="J22"/>
      <c r="K22"/>
      <c r="L22"/>
      <c r="M22"/>
      <c r="N22"/>
      <c r="O22"/>
      <c r="P22"/>
      <c r="Q22"/>
      <c r="R22"/>
      <c r="S22"/>
      <c r="T22">
        <v>10000</v>
      </c>
      <c r="U22" s="38">
        <f t="shared" si="0"/>
        <v>2.0030857184990085E-2</v>
      </c>
    </row>
    <row r="23" spans="1:21">
      <c r="A23" s="22"/>
      <c r="B23" s="16"/>
      <c r="C23" s="16"/>
      <c r="D23" s="16"/>
      <c r="E23" s="27"/>
      <c r="G23"/>
      <c r="H23"/>
      <c r="I23"/>
      <c r="J23"/>
      <c r="K23"/>
      <c r="L23"/>
      <c r="M23"/>
      <c r="N23"/>
      <c r="O23"/>
      <c r="P23"/>
      <c r="Q23"/>
      <c r="R23"/>
      <c r="S23"/>
      <c r="T23">
        <v>13000</v>
      </c>
      <c r="U23" s="38">
        <f t="shared" si="0"/>
        <v>1.8061851515212314E-2</v>
      </c>
    </row>
    <row r="24" spans="1:21">
      <c r="A24" s="22"/>
      <c r="B24" s="16"/>
      <c r="C24" s="16"/>
      <c r="D24" s="16"/>
      <c r="E24" s="27"/>
      <c r="G24"/>
      <c r="H24"/>
      <c r="I24"/>
      <c r="J24"/>
      <c r="K24"/>
      <c r="L24"/>
      <c r="M24"/>
      <c r="N24"/>
      <c r="O24"/>
      <c r="P24"/>
      <c r="Q24"/>
      <c r="R24"/>
      <c r="S24"/>
      <c r="T24">
        <v>16000</v>
      </c>
      <c r="U24" s="38">
        <f t="shared" si="0"/>
        <v>1.0994380700300543E-2</v>
      </c>
    </row>
    <row r="25" spans="1:21">
      <c r="A25" s="22"/>
      <c r="B25" s="16"/>
      <c r="C25" s="16"/>
      <c r="D25" s="16"/>
      <c r="E25" s="27"/>
      <c r="G25"/>
      <c r="H25"/>
      <c r="I25"/>
      <c r="J25"/>
      <c r="K25"/>
      <c r="L25"/>
      <c r="M25"/>
      <c r="N25"/>
      <c r="O25"/>
      <c r="P25"/>
      <c r="Q25"/>
      <c r="R25"/>
      <c r="S25"/>
      <c r="T25">
        <v>19000</v>
      </c>
      <c r="U25" s="38">
        <f t="shared" si="0"/>
        <v>8.3477417413112276E-4</v>
      </c>
    </row>
    <row r="26" spans="1:21">
      <c r="A26" s="22"/>
      <c r="B26" s="16"/>
      <c r="C26" s="16"/>
      <c r="D26" s="16"/>
      <c r="E26" s="27"/>
      <c r="G26"/>
      <c r="H26"/>
      <c r="I26"/>
      <c r="J26"/>
      <c r="K26"/>
      <c r="L26"/>
      <c r="M26"/>
      <c r="N26"/>
      <c r="O26"/>
      <c r="P26"/>
      <c r="Q26"/>
      <c r="R26"/>
      <c r="S26"/>
      <c r="T26">
        <v>22000</v>
      </c>
      <c r="U26" s="38">
        <f t="shared" si="0"/>
        <v>-9.5328734820343108E-3</v>
      </c>
    </row>
    <row r="27" spans="1:21">
      <c r="A27" s="22"/>
      <c r="B27" s="16"/>
      <c r="C27" s="16"/>
      <c r="D27" s="16"/>
      <c r="E27" s="27"/>
      <c r="G27"/>
      <c r="H27"/>
      <c r="I27"/>
      <c r="J27"/>
      <c r="K27"/>
      <c r="L27"/>
      <c r="M27"/>
      <c r="N27"/>
      <c r="O27"/>
      <c r="P27"/>
      <c r="Q27"/>
      <c r="R27"/>
      <c r="S27"/>
      <c r="T27">
        <v>25000</v>
      </c>
      <c r="U27" s="38">
        <f t="shared" si="0"/>
        <v>-1.716541101213544E-2</v>
      </c>
    </row>
    <row r="28" spans="1:21">
      <c r="A28" s="18" t="s">
        <v>21</v>
      </c>
      <c r="B28" s="16"/>
      <c r="C28" s="19">
        <f>(C7+C11)+(C8+C12)*INT(MAX(F41:F3512))</f>
        <v>56093.783501320002</v>
      </c>
      <c r="D28" s="20"/>
      <c r="E28" s="27"/>
      <c r="G28"/>
      <c r="H28"/>
      <c r="I28"/>
      <c r="J28"/>
      <c r="K28"/>
      <c r="L28"/>
      <c r="M28"/>
      <c r="N28"/>
      <c r="O28"/>
      <c r="P28"/>
      <c r="Q28"/>
      <c r="R28"/>
      <c r="S28"/>
      <c r="T28">
        <v>28000</v>
      </c>
      <c r="U28" s="38">
        <f t="shared" si="0"/>
        <v>-1.9896103387310245E-2</v>
      </c>
    </row>
    <row r="29" spans="1:21">
      <c r="A29" s="22" t="s">
        <v>7</v>
      </c>
      <c r="B29" s="16"/>
      <c r="C29" s="23">
        <f>+C8+C12</f>
        <v>0.35825796999999998</v>
      </c>
      <c r="D29" s="20"/>
      <c r="E29" s="27"/>
      <c r="G29"/>
      <c r="H29"/>
      <c r="I29"/>
      <c r="J29"/>
      <c r="K29"/>
      <c r="L29"/>
      <c r="M29"/>
      <c r="N29"/>
      <c r="O29"/>
      <c r="P29"/>
      <c r="Q29"/>
      <c r="R29"/>
      <c r="S29"/>
      <c r="T29">
        <v>31000</v>
      </c>
      <c r="U29" s="38">
        <f t="shared" si="0"/>
        <v>-1.6949703287081837E-2</v>
      </c>
    </row>
    <row r="30" spans="1:21" ht="13.5" thickBot="1">
      <c r="A30" s="20" t="s">
        <v>43</v>
      </c>
      <c r="B30" s="16"/>
      <c r="C30" s="16">
        <f>COUNT(C41:C2170)</f>
        <v>68</v>
      </c>
      <c r="D30" s="20"/>
      <c r="E30" s="27"/>
      <c r="G30"/>
      <c r="H30"/>
      <c r="I30"/>
      <c r="J30"/>
      <c r="K30"/>
      <c r="L30"/>
      <c r="M30"/>
      <c r="N30"/>
      <c r="O30"/>
      <c r="P30"/>
      <c r="Q30"/>
      <c r="R30"/>
      <c r="S30"/>
      <c r="T30">
        <v>34000</v>
      </c>
      <c r="U30" s="38">
        <f t="shared" si="0"/>
        <v>-9.1625207023972154E-3</v>
      </c>
    </row>
    <row r="31" spans="1:21" ht="14.25" thickTop="1" thickBot="1">
      <c r="A31" s="22" t="s">
        <v>8</v>
      </c>
      <c r="B31" s="16"/>
      <c r="C31" s="25">
        <f>+C28</f>
        <v>56093.783501320002</v>
      </c>
      <c r="D31" s="26">
        <f>+C29</f>
        <v>0.35825796999999998</v>
      </c>
      <c r="E31" s="27"/>
      <c r="G31"/>
      <c r="H31"/>
      <c r="I31"/>
      <c r="J31"/>
      <c r="K31"/>
      <c r="L31"/>
      <c r="M31"/>
      <c r="N31"/>
      <c r="O31"/>
      <c r="P31"/>
      <c r="Q31"/>
      <c r="R31"/>
      <c r="S31"/>
      <c r="T31">
        <v>37000</v>
      </c>
      <c r="U31" s="38">
        <f t="shared" si="0"/>
        <v>1.2549805391913352E-3</v>
      </c>
    </row>
    <row r="32" spans="1:21" ht="13.5" thickTop="1">
      <c r="A32" s="22"/>
      <c r="B32" s="16"/>
      <c r="C32" s="16"/>
      <c r="D32" s="16"/>
      <c r="E32" s="27"/>
      <c r="G32"/>
      <c r="H32"/>
      <c r="I32"/>
      <c r="J32"/>
      <c r="K32"/>
      <c r="L32"/>
      <c r="M32"/>
      <c r="N32"/>
      <c r="O32"/>
      <c r="P32"/>
      <c r="Q32"/>
      <c r="R32"/>
      <c r="S32"/>
      <c r="T32">
        <v>40000</v>
      </c>
      <c r="U32" s="38">
        <f t="shared" si="0"/>
        <v>1.1345667557042607E-2</v>
      </c>
    </row>
    <row r="33" spans="1:21">
      <c r="A33" s="22"/>
      <c r="B33" s="16"/>
      <c r="C33" s="16"/>
      <c r="D33" s="16"/>
      <c r="E33" s="27"/>
      <c r="G33"/>
      <c r="H33"/>
      <c r="I33"/>
      <c r="J33"/>
      <c r="K33"/>
      <c r="L33"/>
      <c r="M33"/>
      <c r="N33"/>
      <c r="O33"/>
      <c r="P33"/>
      <c r="Q33"/>
      <c r="R33"/>
      <c r="S33"/>
      <c r="U33" s="38"/>
    </row>
    <row r="34" spans="1:21">
      <c r="A34" s="22"/>
      <c r="B34" s="16"/>
      <c r="C34" s="16"/>
      <c r="D34" s="16"/>
      <c r="E34" s="27"/>
      <c r="G34"/>
      <c r="H34"/>
      <c r="I34"/>
      <c r="J34"/>
      <c r="K34"/>
      <c r="L34"/>
      <c r="M34"/>
      <c r="N34"/>
      <c r="O34"/>
      <c r="P34"/>
      <c r="Q34"/>
      <c r="R34"/>
      <c r="S34"/>
      <c r="U34" s="38"/>
    </row>
    <row r="35" spans="1:21">
      <c r="A35" s="22"/>
      <c r="B35" s="16"/>
      <c r="C35" s="16"/>
      <c r="D35" s="16"/>
      <c r="E35" s="27"/>
      <c r="G35"/>
      <c r="H35"/>
      <c r="I35"/>
      <c r="J35"/>
      <c r="K35"/>
      <c r="L35"/>
      <c r="M35"/>
      <c r="N35"/>
      <c r="O35"/>
      <c r="P35"/>
      <c r="Q35"/>
      <c r="R35"/>
      <c r="S35"/>
      <c r="U35" s="38"/>
    </row>
    <row r="36" spans="1:21">
      <c r="A36" s="22"/>
      <c r="B36" s="16"/>
      <c r="C36" s="16"/>
      <c r="D36" s="16"/>
      <c r="E36" s="27"/>
      <c r="G36"/>
      <c r="H36"/>
      <c r="I36"/>
      <c r="J36"/>
      <c r="K36"/>
      <c r="L36"/>
      <c r="M36"/>
      <c r="N36"/>
      <c r="O36"/>
      <c r="P36"/>
      <c r="Q36"/>
      <c r="R36"/>
      <c r="S36"/>
      <c r="U36" s="38"/>
    </row>
    <row r="37" spans="1:21">
      <c r="A37" s="22"/>
      <c r="B37" s="16"/>
      <c r="C37" s="16"/>
      <c r="D37" s="16"/>
      <c r="E37" s="27"/>
      <c r="G37"/>
      <c r="H37"/>
      <c r="I37"/>
      <c r="J37"/>
      <c r="K37"/>
      <c r="L37"/>
      <c r="M37"/>
      <c r="N37"/>
      <c r="O37"/>
      <c r="P37"/>
      <c r="Q37"/>
      <c r="R37"/>
      <c r="S37"/>
      <c r="U37" s="38"/>
    </row>
    <row r="38" spans="1:21">
      <c r="A38" s="22"/>
      <c r="B38" s="16"/>
      <c r="C38" s="16"/>
      <c r="D38" s="16"/>
      <c r="E38" s="27"/>
      <c r="G38"/>
      <c r="H38"/>
      <c r="I38"/>
      <c r="J38"/>
      <c r="K38"/>
      <c r="L38"/>
      <c r="M38"/>
      <c r="N38"/>
      <c r="O38"/>
      <c r="P38"/>
      <c r="Q38"/>
      <c r="R38"/>
      <c r="S38"/>
      <c r="U38" s="38"/>
    </row>
    <row r="39" spans="1:21">
      <c r="G39"/>
      <c r="H39"/>
      <c r="I39"/>
      <c r="J39"/>
      <c r="K39"/>
      <c r="L39"/>
      <c r="M39"/>
      <c r="N39"/>
      <c r="O39"/>
      <c r="P39"/>
      <c r="Q39"/>
      <c r="R39"/>
      <c r="S39" s="23" t="s">
        <v>148</v>
      </c>
      <c r="U39" s="38"/>
    </row>
    <row r="40" spans="1:21" ht="13.5" thickBot="1">
      <c r="A40" s="5" t="s">
        <v>9</v>
      </c>
      <c r="B40" s="5" t="s">
        <v>10</v>
      </c>
      <c r="C40" s="5" t="s">
        <v>11</v>
      </c>
      <c r="D40" s="5" t="s">
        <v>16</v>
      </c>
      <c r="E40" s="5" t="s">
        <v>12</v>
      </c>
      <c r="F40" s="5" t="s">
        <v>13</v>
      </c>
      <c r="G40" s="5" t="s">
        <v>14</v>
      </c>
      <c r="H40" s="8" t="s">
        <v>436</v>
      </c>
      <c r="I40" s="8" t="s">
        <v>181</v>
      </c>
      <c r="J40" s="8" t="s">
        <v>179</v>
      </c>
      <c r="K40" s="8" t="s">
        <v>437</v>
      </c>
      <c r="L40" s="8" t="s">
        <v>213</v>
      </c>
      <c r="M40" s="8" t="s">
        <v>433</v>
      </c>
      <c r="N40" s="8" t="s">
        <v>148</v>
      </c>
      <c r="O40" s="8" t="s">
        <v>26</v>
      </c>
      <c r="P40" s="7" t="s">
        <v>134</v>
      </c>
      <c r="Q40" s="5" t="s">
        <v>18</v>
      </c>
      <c r="R40" s="4"/>
      <c r="S40" s="156" t="s">
        <v>194</v>
      </c>
      <c r="U40" s="38"/>
    </row>
    <row r="41" spans="1:21">
      <c r="A41" s="73" t="s">
        <v>142</v>
      </c>
      <c r="B41" s="37"/>
      <c r="C41" s="76">
        <v>28731.308000000001</v>
      </c>
      <c r="D41" s="76"/>
      <c r="E41" s="10">
        <f t="shared" ref="E41:E72" si="1">+(C41-C$7)/C$8</f>
        <v>-44820.459960737237</v>
      </c>
      <c r="F41">
        <f t="shared" ref="F41:F72" si="2">ROUND(2*E41,0)/2</f>
        <v>-44820.5</v>
      </c>
      <c r="G41" s="9">
        <f t="shared" ref="G41:G72" si="3">+C41-(C$7+F41*C$8)</f>
        <v>1.4344384999276372E-2</v>
      </c>
      <c r="H41" s="9">
        <f>G41</f>
        <v>1.4344384999276372E-2</v>
      </c>
      <c r="P41" s="9">
        <f t="shared" ref="P41:P66" si="4">C$15+C$16*F41+C$17*SIN(RADIANS(C$18)*F41+RADIANS(C$19))</f>
        <v>-1.731998638198359E-2</v>
      </c>
      <c r="Q41" s="11">
        <f t="shared" ref="Q41:Q72" si="5">+C41-15018.5</f>
        <v>13712.808000000001</v>
      </c>
      <c r="R41">
        <f t="shared" ref="R41:R66" si="6">+(P41-G41)^2</f>
        <v>1.002632414970355E-3</v>
      </c>
      <c r="S41"/>
      <c r="U41" s="38"/>
    </row>
    <row r="42" spans="1:21">
      <c r="A42" s="73" t="s">
        <v>142</v>
      </c>
      <c r="B42" s="37"/>
      <c r="C42" s="76">
        <v>28731.477999999999</v>
      </c>
      <c r="D42" s="76"/>
      <c r="E42" s="10">
        <f t="shared" si="1"/>
        <v>-44819.985442333644</v>
      </c>
      <c r="F42">
        <f t="shared" si="2"/>
        <v>-44820</v>
      </c>
      <c r="G42" s="9">
        <f t="shared" si="3"/>
        <v>5.2153999968140852E-3</v>
      </c>
      <c r="H42" s="9">
        <f>G42</f>
        <v>5.2153999968140852E-3</v>
      </c>
      <c r="P42" s="9">
        <f t="shared" si="4"/>
        <v>-1.7320870151797913E-2</v>
      </c>
      <c r="Q42" s="11">
        <f t="shared" si="5"/>
        <v>13712.977999999999</v>
      </c>
      <c r="R42">
        <f t="shared" si="6"/>
        <v>5.0788347221122031E-4</v>
      </c>
      <c r="S42"/>
      <c r="U42" s="38"/>
    </row>
    <row r="43" spans="1:21">
      <c r="A43" s="73" t="s">
        <v>142</v>
      </c>
      <c r="B43" s="37"/>
      <c r="C43" s="76">
        <v>29046.215</v>
      </c>
      <c r="D43" s="76"/>
      <c r="E43" s="10">
        <f t="shared" si="1"/>
        <v>-43941.464861200438</v>
      </c>
      <c r="F43">
        <f t="shared" si="2"/>
        <v>-43941.5</v>
      </c>
      <c r="G43" s="9">
        <f t="shared" si="3"/>
        <v>1.2588754998432705E-2</v>
      </c>
      <c r="H43" s="9">
        <f>G43</f>
        <v>1.2588754998432705E-2</v>
      </c>
      <c r="P43" s="9">
        <f t="shared" si="4"/>
        <v>-1.8650344191497494E-2</v>
      </c>
      <c r="Q43" s="11">
        <f t="shared" si="5"/>
        <v>14027.715</v>
      </c>
      <c r="R43">
        <f t="shared" si="6"/>
        <v>9.7588131819829763E-4</v>
      </c>
      <c r="S43"/>
      <c r="U43" s="38"/>
    </row>
    <row r="44" spans="1:21">
      <c r="A44" s="73" t="s">
        <v>142</v>
      </c>
      <c r="B44" s="37"/>
      <c r="C44" s="76">
        <v>29046.404999999999</v>
      </c>
      <c r="D44" s="76"/>
      <c r="E44" s="10">
        <f t="shared" si="1"/>
        <v>-43940.934517102309</v>
      </c>
      <c r="F44">
        <f t="shared" si="2"/>
        <v>-43941</v>
      </c>
      <c r="G44" s="9">
        <f t="shared" si="3"/>
        <v>2.3459769996406976E-2</v>
      </c>
      <c r="H44" s="9">
        <f>G44</f>
        <v>2.3459769996406976E-2</v>
      </c>
      <c r="P44" s="9">
        <f t="shared" si="4"/>
        <v>-1.8650970614960242E-2</v>
      </c>
      <c r="Q44" s="11">
        <f t="shared" si="5"/>
        <v>14027.904999999999</v>
      </c>
      <c r="R44">
        <f t="shared" si="6"/>
        <v>1.773314474837852E-3</v>
      </c>
      <c r="S44"/>
      <c r="U44" s="38"/>
    </row>
    <row r="45" spans="1:21">
      <c r="A45" s="73" t="s">
        <v>31</v>
      </c>
      <c r="B45" s="37"/>
      <c r="C45" s="76">
        <v>29369.184000000001</v>
      </c>
      <c r="D45" s="76"/>
      <c r="E45" s="10">
        <f t="shared" si="1"/>
        <v>-43039.966424194281</v>
      </c>
      <c r="F45">
        <f t="shared" si="2"/>
        <v>-43040</v>
      </c>
      <c r="G45" s="9">
        <f t="shared" si="3"/>
        <v>1.2028799999825424E-2</v>
      </c>
      <c r="H45" s="9">
        <f>G45</f>
        <v>1.2028799999825424E-2</v>
      </c>
      <c r="P45" s="9">
        <f t="shared" si="4"/>
        <v>-1.9529350415280079E-2</v>
      </c>
      <c r="Q45" s="11">
        <f t="shared" si="5"/>
        <v>14350.684000000001</v>
      </c>
      <c r="R45">
        <f t="shared" si="6"/>
        <v>9.9591685762242328E-4</v>
      </c>
      <c r="S45" s="4"/>
      <c r="U45" s="38"/>
    </row>
    <row r="46" spans="1:21">
      <c r="A46" t="s">
        <v>127</v>
      </c>
      <c r="B46" s="4"/>
      <c r="C46" s="88">
        <v>29645.01</v>
      </c>
      <c r="D46" s="4"/>
      <c r="E46" s="10">
        <f t="shared" si="1"/>
        <v>-42270.057523074793</v>
      </c>
      <c r="F46">
        <f t="shared" si="2"/>
        <v>-42270</v>
      </c>
      <c r="G46" s="9">
        <f t="shared" si="3"/>
        <v>-2.0608100003300933E-2</v>
      </c>
      <c r="N46" s="9">
        <f>+G46</f>
        <v>-2.0608100003300933E-2</v>
      </c>
      <c r="P46" s="9">
        <f t="shared" si="4"/>
        <v>-1.9873411407919712E-2</v>
      </c>
      <c r="Q46" s="11">
        <f t="shared" si="5"/>
        <v>14626.509999999998</v>
      </c>
      <c r="R46">
        <f t="shared" si="6"/>
        <v>5.397673321832311E-7</v>
      </c>
      <c r="S46" s="4">
        <v>1</v>
      </c>
      <c r="U46" s="38"/>
    </row>
    <row r="47" spans="1:21">
      <c r="A47" s="73" t="s">
        <v>142</v>
      </c>
      <c r="B47" s="37"/>
      <c r="C47" s="76">
        <v>30493.286</v>
      </c>
      <c r="D47" s="76"/>
      <c r="E47" s="10">
        <f t="shared" si="1"/>
        <v>-39902.277679963416</v>
      </c>
      <c r="F47">
        <f t="shared" si="2"/>
        <v>-39902.5</v>
      </c>
      <c r="G47" s="9">
        <f t="shared" si="3"/>
        <v>7.9647924998425879E-2</v>
      </c>
      <c r="H47" s="9">
        <f t="shared" ref="H47:H53" si="7">G47</f>
        <v>7.9647924998425879E-2</v>
      </c>
      <c r="P47" s="9">
        <f t="shared" si="4"/>
        <v>-1.8549929742163525E-2</v>
      </c>
      <c r="Q47" s="11">
        <f t="shared" si="5"/>
        <v>15474.786</v>
      </c>
      <c r="R47">
        <f t="shared" si="6"/>
        <v>9.6428186756538949E-3</v>
      </c>
      <c r="S47"/>
      <c r="U47" s="38"/>
    </row>
    <row r="48" spans="1:21">
      <c r="A48" s="73" t="s">
        <v>143</v>
      </c>
      <c r="B48" s="37"/>
      <c r="C48" s="76">
        <v>30493.473000000002</v>
      </c>
      <c r="D48" s="76"/>
      <c r="E48" s="10">
        <f t="shared" si="1"/>
        <v>-39901.755709719451</v>
      </c>
      <c r="F48">
        <f t="shared" si="2"/>
        <v>-39902</v>
      </c>
      <c r="G48" s="9">
        <f t="shared" si="3"/>
        <v>8.7518939999426948E-2</v>
      </c>
      <c r="H48" s="9">
        <f t="shared" si="7"/>
        <v>8.7518939999426948E-2</v>
      </c>
      <c r="P48" s="9">
        <f t="shared" si="4"/>
        <v>-1.8549279403963382E-2</v>
      </c>
      <c r="Q48" s="11">
        <f t="shared" si="5"/>
        <v>15474.973000000002</v>
      </c>
      <c r="R48">
        <f t="shared" si="6"/>
        <v>1.1250467167405747E-2</v>
      </c>
      <c r="S48"/>
    </row>
    <row r="49" spans="1:19">
      <c r="A49" s="73" t="s">
        <v>144</v>
      </c>
      <c r="B49" s="37"/>
      <c r="C49" s="76">
        <v>30899.22</v>
      </c>
      <c r="D49" s="76"/>
      <c r="E49" s="10">
        <f t="shared" si="1"/>
        <v>-38769.200305578692</v>
      </c>
      <c r="F49">
        <f t="shared" si="2"/>
        <v>-38769</v>
      </c>
      <c r="G49" s="9">
        <f t="shared" si="3"/>
        <v>-7.1761070001230109E-2</v>
      </c>
      <c r="H49" s="9">
        <f t="shared" si="7"/>
        <v>-7.1761070001230109E-2</v>
      </c>
      <c r="P49" s="9">
        <f t="shared" si="4"/>
        <v>-1.6700197890266361E-2</v>
      </c>
      <c r="Q49" s="11">
        <f t="shared" si="5"/>
        <v>15880.720000000001</v>
      </c>
      <c r="R49">
        <f t="shared" si="6"/>
        <v>3.0316996376199058E-3</v>
      </c>
      <c r="S49"/>
    </row>
    <row r="50" spans="1:19">
      <c r="A50" s="73" t="s">
        <v>144</v>
      </c>
      <c r="B50" s="37"/>
      <c r="C50" s="76">
        <v>30899.399000000001</v>
      </c>
      <c r="D50" s="76"/>
      <c r="E50" s="10">
        <f t="shared" si="1"/>
        <v>-38768.700665612552</v>
      </c>
      <c r="F50">
        <f t="shared" si="2"/>
        <v>-38768.5</v>
      </c>
      <c r="G50" s="9">
        <f t="shared" si="3"/>
        <v>-7.1890055001858855E-2</v>
      </c>
      <c r="H50" s="9">
        <f t="shared" si="7"/>
        <v>-7.1890055001858855E-2</v>
      </c>
      <c r="P50" s="9">
        <f t="shared" si="4"/>
        <v>-1.6699221858988658E-2</v>
      </c>
      <c r="Q50" s="11">
        <f t="shared" si="5"/>
        <v>15880.899000000001</v>
      </c>
      <c r="R50">
        <f t="shared" si="6"/>
        <v>3.0460280630041393E-3</v>
      </c>
      <c r="S50"/>
    </row>
    <row r="51" spans="1:19">
      <c r="A51" s="73" t="s">
        <v>145</v>
      </c>
      <c r="B51" s="37"/>
      <c r="C51" s="76">
        <v>31256.240000000002</v>
      </c>
      <c r="D51" s="76"/>
      <c r="E51" s="10">
        <f t="shared" si="1"/>
        <v>-37772.655832332217</v>
      </c>
      <c r="F51">
        <f t="shared" si="2"/>
        <v>-37772.5</v>
      </c>
      <c r="G51" s="9">
        <f t="shared" si="3"/>
        <v>-5.5828175001806812E-2</v>
      </c>
      <c r="H51" s="9">
        <f t="shared" si="7"/>
        <v>-5.5828175001806812E-2</v>
      </c>
      <c r="P51" s="9">
        <f t="shared" si="4"/>
        <v>-1.4496703171744582E-2</v>
      </c>
      <c r="Q51" s="11">
        <f t="shared" si="5"/>
        <v>16237.740000000002</v>
      </c>
      <c r="R51">
        <f t="shared" si="6"/>
        <v>1.7082905636392276E-3</v>
      </c>
      <c r="S51"/>
    </row>
    <row r="52" spans="1:19">
      <c r="A52" s="73" t="s">
        <v>144</v>
      </c>
      <c r="B52" s="37"/>
      <c r="C52" s="76">
        <v>31256.425999999999</v>
      </c>
      <c r="D52" s="76"/>
      <c r="E52" s="10">
        <f t="shared" si="1"/>
        <v>-37772.136653372996</v>
      </c>
      <c r="F52">
        <f t="shared" si="2"/>
        <v>-37772</v>
      </c>
      <c r="G52" s="9">
        <f t="shared" si="3"/>
        <v>-4.8957160004647449E-2</v>
      </c>
      <c r="H52" s="9">
        <f t="shared" si="7"/>
        <v>-4.8957160004647449E-2</v>
      </c>
      <c r="P52" s="9">
        <f t="shared" si="4"/>
        <v>-1.4495473758484969E-2</v>
      </c>
      <c r="Q52" s="11">
        <f t="shared" si="5"/>
        <v>16237.925999999999</v>
      </c>
      <c r="R52">
        <f t="shared" si="6"/>
        <v>1.187607818928944E-3</v>
      </c>
      <c r="S52"/>
    </row>
    <row r="53" spans="1:19">
      <c r="A53" s="94" t="s">
        <v>32</v>
      </c>
      <c r="B53" s="94"/>
      <c r="C53" s="95">
        <v>32337.678</v>
      </c>
      <c r="D53" s="14"/>
      <c r="E53" s="10">
        <f t="shared" si="1"/>
        <v>-34754.054459695624</v>
      </c>
      <c r="F53">
        <f t="shared" si="2"/>
        <v>-34754</v>
      </c>
      <c r="G53" s="9">
        <f t="shared" si="3"/>
        <v>-1.9510620004439261E-2</v>
      </c>
      <c r="H53" s="9">
        <f t="shared" si="7"/>
        <v>-1.9510620004439261E-2</v>
      </c>
      <c r="P53" s="9">
        <f t="shared" si="4"/>
        <v>-5.337726736369632E-3</v>
      </c>
      <c r="Q53" s="11">
        <f t="shared" si="5"/>
        <v>17319.178</v>
      </c>
      <c r="R53">
        <f t="shared" si="6"/>
        <v>2.0087090358809337E-4</v>
      </c>
      <c r="S53" s="4"/>
    </row>
    <row r="54" spans="1:19">
      <c r="A54" t="s">
        <v>128</v>
      </c>
      <c r="B54" s="4" t="s">
        <v>41</v>
      </c>
      <c r="C54" s="84">
        <v>44366.7353</v>
      </c>
      <c r="D54" s="14"/>
      <c r="E54" s="10">
        <f t="shared" si="1"/>
        <v>-1177.5305375620837</v>
      </c>
      <c r="F54">
        <f t="shared" si="2"/>
        <v>-1177.5</v>
      </c>
      <c r="G54" s="9">
        <f t="shared" si="3"/>
        <v>-1.0940325002593454E-2</v>
      </c>
      <c r="N54" s="9">
        <f t="shared" ref="N54:N60" si="8">+G54</f>
        <v>-1.0940325002593454E-2</v>
      </c>
      <c r="P54" s="9">
        <f t="shared" si="4"/>
        <v>-9.878419897325165E-3</v>
      </c>
      <c r="Q54" s="11">
        <f t="shared" si="5"/>
        <v>29348.2353</v>
      </c>
      <c r="R54">
        <f t="shared" si="6"/>
        <v>1.1276424525948561E-6</v>
      </c>
      <c r="S54" s="4">
        <v>1</v>
      </c>
    </row>
    <row r="55" spans="1:19">
      <c r="A55" t="s">
        <v>128</v>
      </c>
      <c r="B55" s="4" t="s">
        <v>41</v>
      </c>
      <c r="C55" s="84">
        <v>44408.6512</v>
      </c>
      <c r="D55" s="14"/>
      <c r="E55" s="10">
        <f t="shared" si="1"/>
        <v>-1060.5313260721064</v>
      </c>
      <c r="F55">
        <f t="shared" si="2"/>
        <v>-1060.5</v>
      </c>
      <c r="G55" s="9">
        <f t="shared" si="3"/>
        <v>-1.1222815002838615E-2</v>
      </c>
      <c r="N55" s="9">
        <f t="shared" si="8"/>
        <v>-1.1222815002838615E-2</v>
      </c>
      <c r="P55" s="9">
        <f t="shared" si="4"/>
        <v>-9.511663322711271E-3</v>
      </c>
      <c r="Q55" s="11">
        <f t="shared" si="5"/>
        <v>29390.1512</v>
      </c>
      <c r="R55">
        <f t="shared" si="6"/>
        <v>2.9280400724026336E-6</v>
      </c>
      <c r="S55" s="4">
        <v>1</v>
      </c>
    </row>
    <row r="56" spans="1:19">
      <c r="A56" t="s">
        <v>128</v>
      </c>
      <c r="B56" s="4" t="s">
        <v>41</v>
      </c>
      <c r="C56" s="84">
        <v>44698.845500000003</v>
      </c>
      <c r="D56" s="14"/>
      <c r="E56" s="10">
        <f t="shared" si="1"/>
        <v>-250.51640860913182</v>
      </c>
      <c r="F56">
        <f t="shared" si="2"/>
        <v>-250.5</v>
      </c>
      <c r="G56" s="9">
        <f t="shared" si="3"/>
        <v>-5.8785149958566763E-3</v>
      </c>
      <c r="N56" s="9">
        <f t="shared" si="8"/>
        <v>-5.8785149958566763E-3</v>
      </c>
      <c r="P56" s="9">
        <f t="shared" si="4"/>
        <v>-6.8649711914644295E-3</v>
      </c>
      <c r="Q56" s="11">
        <f t="shared" si="5"/>
        <v>29680.345500000003</v>
      </c>
      <c r="R56">
        <f t="shared" si="6"/>
        <v>9.7309582585292199E-7</v>
      </c>
      <c r="S56" s="4">
        <v>1</v>
      </c>
    </row>
    <row r="57" spans="1:19">
      <c r="A57" t="s">
        <v>128</v>
      </c>
      <c r="B57" s="4" t="s">
        <v>39</v>
      </c>
      <c r="C57" s="84">
        <v>44787.515200000002</v>
      </c>
      <c r="D57" s="14"/>
      <c r="E57" s="10">
        <f t="shared" si="1"/>
        <v>-3.0140292482523772</v>
      </c>
      <c r="F57">
        <f t="shared" si="2"/>
        <v>-3</v>
      </c>
      <c r="G57" s="9">
        <f t="shared" si="3"/>
        <v>-5.0260900025023147E-3</v>
      </c>
      <c r="N57" s="9">
        <f t="shared" si="8"/>
        <v>-5.0260900025023147E-3</v>
      </c>
      <c r="P57" s="9">
        <f t="shared" si="4"/>
        <v>-6.0241753055997093E-3</v>
      </c>
      <c r="Q57" s="11">
        <f t="shared" si="5"/>
        <v>29769.015200000002</v>
      </c>
      <c r="R57">
        <f t="shared" si="6"/>
        <v>9.9617427225901795E-7</v>
      </c>
      <c r="S57" s="4">
        <v>1</v>
      </c>
    </row>
    <row r="58" spans="1:19">
      <c r="A58" t="s">
        <v>128</v>
      </c>
      <c r="B58" s="4" t="s">
        <v>39</v>
      </c>
      <c r="C58" s="84">
        <v>44788.59</v>
      </c>
      <c r="D58" s="14"/>
      <c r="E58" s="10">
        <f t="shared" si="1"/>
        <v>-1.3956423648179029E-2</v>
      </c>
      <c r="F58">
        <f t="shared" si="2"/>
        <v>0</v>
      </c>
      <c r="G58" s="9">
        <f t="shared" si="3"/>
        <v>-5.0000000046566129E-3</v>
      </c>
      <c r="N58" s="9">
        <f t="shared" si="8"/>
        <v>-5.0000000046566129E-3</v>
      </c>
      <c r="P58" s="9">
        <f t="shared" si="4"/>
        <v>-6.0139060992621214E-3</v>
      </c>
      <c r="Q58" s="11">
        <f t="shared" si="5"/>
        <v>29770.089999999997</v>
      </c>
      <c r="R58">
        <f t="shared" si="6"/>
        <v>1.0280055686781943E-6</v>
      </c>
      <c r="S58" s="4">
        <v>1</v>
      </c>
    </row>
    <row r="59" spans="1:19">
      <c r="A59" t="s">
        <v>128</v>
      </c>
      <c r="B59" s="4" t="s">
        <v>39</v>
      </c>
      <c r="C59" s="84">
        <v>44789.665099999998</v>
      </c>
      <c r="D59" s="14"/>
      <c r="E59" s="10">
        <f t="shared" si="1"/>
        <v>2.9869537863935944</v>
      </c>
      <c r="F59">
        <f t="shared" si="2"/>
        <v>3</v>
      </c>
      <c r="G59" s="9">
        <f t="shared" si="3"/>
        <v>-4.6739099998376332E-3</v>
      </c>
      <c r="N59" s="9">
        <f t="shared" si="8"/>
        <v>-4.6739099998376332E-3</v>
      </c>
      <c r="P59" s="9">
        <f t="shared" si="4"/>
        <v>-6.003635114684238E-3</v>
      </c>
      <c r="Q59" s="11">
        <f t="shared" si="5"/>
        <v>29771.165099999998</v>
      </c>
      <c r="R59">
        <f t="shared" si="6"/>
        <v>1.7681688810538164E-6</v>
      </c>
      <c r="S59" s="4">
        <v>1</v>
      </c>
    </row>
    <row r="60" spans="1:19">
      <c r="A60" t="s">
        <v>128</v>
      </c>
      <c r="B60" s="4" t="s">
        <v>41</v>
      </c>
      <c r="C60" s="84">
        <v>44790.560299999997</v>
      </c>
      <c r="D60" s="14"/>
      <c r="E60" s="10">
        <f t="shared" si="1"/>
        <v>5.4857118740336883</v>
      </c>
      <c r="F60">
        <f t="shared" si="2"/>
        <v>5.5</v>
      </c>
      <c r="G60" s="9">
        <f t="shared" si="3"/>
        <v>-5.1188350043958053E-3</v>
      </c>
      <c r="N60" s="9">
        <f t="shared" si="8"/>
        <v>-5.1188350043958053E-3</v>
      </c>
      <c r="P60" s="9">
        <f t="shared" si="4"/>
        <v>-5.995074604646467E-3</v>
      </c>
      <c r="Q60" s="11">
        <f t="shared" si="5"/>
        <v>29772.060299999997</v>
      </c>
      <c r="R60">
        <f t="shared" si="6"/>
        <v>7.6779583704743937E-7</v>
      </c>
      <c r="S60" s="4">
        <v>1</v>
      </c>
    </row>
    <row r="61" spans="1:19">
      <c r="A61" s="102" t="s">
        <v>33</v>
      </c>
      <c r="B61" s="103"/>
      <c r="C61" s="104">
        <v>48085.46</v>
      </c>
      <c r="D61" s="104"/>
      <c r="E61" s="105">
        <f t="shared" si="1"/>
        <v>9202.4889216002593</v>
      </c>
      <c r="F61" s="6">
        <f t="shared" si="2"/>
        <v>9202.5</v>
      </c>
      <c r="G61" s="106">
        <f t="shared" si="3"/>
        <v>-3.968925004301127E-3</v>
      </c>
      <c r="I61" s="9">
        <f>G61</f>
        <v>-3.968925004301127E-3</v>
      </c>
      <c r="P61" s="9">
        <f t="shared" si="4"/>
        <v>1.9587201994088314E-2</v>
      </c>
      <c r="Q61" s="11">
        <f t="shared" si="5"/>
        <v>33066.959999999999</v>
      </c>
      <c r="R61">
        <f t="shared" si="6"/>
        <v>5.5489111916425188E-4</v>
      </c>
      <c r="S61" s="4"/>
    </row>
    <row r="62" spans="1:19">
      <c r="A62" s="102" t="s">
        <v>33</v>
      </c>
      <c r="B62" s="103"/>
      <c r="C62" s="104">
        <v>48094.417999999998</v>
      </c>
      <c r="D62" s="104"/>
      <c r="E62" s="105">
        <f t="shared" si="1"/>
        <v>9227.4932501850471</v>
      </c>
      <c r="F62" s="6">
        <f t="shared" si="2"/>
        <v>9227.5</v>
      </c>
      <c r="G62" s="106">
        <f t="shared" si="3"/>
        <v>-2.4181750050047413E-3</v>
      </c>
      <c r="I62" s="9">
        <f>G62</f>
        <v>-2.4181750050047413E-3</v>
      </c>
      <c r="P62" s="9">
        <f t="shared" si="4"/>
        <v>1.9607249018722017E-2</v>
      </c>
      <c r="Q62" s="11">
        <f t="shared" si="5"/>
        <v>33075.917999999998</v>
      </c>
      <c r="R62">
        <f t="shared" si="6"/>
        <v>4.8511930342495986E-4</v>
      </c>
      <c r="S62" s="4"/>
    </row>
    <row r="63" spans="1:19">
      <c r="A63" s="102" t="s">
        <v>33</v>
      </c>
      <c r="B63" s="103"/>
      <c r="C63" s="104">
        <v>48122.360999999997</v>
      </c>
      <c r="D63" s="104"/>
      <c r="E63" s="105">
        <f t="shared" si="1"/>
        <v>9305.490119312617</v>
      </c>
      <c r="F63" s="6">
        <f t="shared" si="2"/>
        <v>9305.5</v>
      </c>
      <c r="G63" s="106">
        <f t="shared" si="3"/>
        <v>-3.5398350009927526E-3</v>
      </c>
      <c r="I63" s="9">
        <f>G63</f>
        <v>-3.5398350009927526E-3</v>
      </c>
      <c r="P63" s="9">
        <f t="shared" si="4"/>
        <v>1.9667261697752236E-2</v>
      </c>
      <c r="Q63" s="11">
        <f t="shared" si="5"/>
        <v>33103.860999999997</v>
      </c>
      <c r="R63">
        <f t="shared" si="6"/>
        <v>5.3856933718490058E-4</v>
      </c>
      <c r="S63" s="4"/>
    </row>
    <row r="64" spans="1:19">
      <c r="A64" t="s">
        <v>129</v>
      </c>
      <c r="B64" s="4"/>
      <c r="C64" s="85">
        <v>48336.621099999997</v>
      </c>
      <c r="D64" s="14"/>
      <c r="E64" s="10">
        <f t="shared" si="1"/>
        <v>9903.5510640558696</v>
      </c>
      <c r="F64">
        <f t="shared" si="2"/>
        <v>9903.5</v>
      </c>
      <c r="G64" s="9">
        <f t="shared" si="3"/>
        <v>1.8294104993401561E-2</v>
      </c>
      <c r="N64" s="9">
        <f>+G64</f>
        <v>1.8294104993401561E-2</v>
      </c>
      <c r="P64" s="9">
        <f t="shared" si="4"/>
        <v>1.9998817831227565E-2</v>
      </c>
      <c r="Q64" s="11">
        <f t="shared" si="5"/>
        <v>33318.121099999997</v>
      </c>
      <c r="R64">
        <f t="shared" si="6"/>
        <v>2.9060458594487867E-6</v>
      </c>
      <c r="S64" s="4">
        <v>1</v>
      </c>
    </row>
    <row r="65" spans="1:20">
      <c r="A65" s="96" t="s">
        <v>149</v>
      </c>
      <c r="B65" s="97" t="s">
        <v>40</v>
      </c>
      <c r="C65" s="98">
        <v>48500.337</v>
      </c>
      <c r="D65" s="98"/>
      <c r="E65" s="10">
        <f t="shared" si="1"/>
        <v>10360.528755298867</v>
      </c>
      <c r="F65">
        <f t="shared" si="2"/>
        <v>10360.5</v>
      </c>
      <c r="G65" s="9">
        <f t="shared" si="3"/>
        <v>1.0301814996637404E-2</v>
      </c>
      <c r="L65" s="9">
        <f>G65</f>
        <v>1.0301814996637404E-2</v>
      </c>
      <c r="P65" s="9">
        <f t="shared" si="4"/>
        <v>2.0097437886183098E-2</v>
      </c>
      <c r="Q65" s="11">
        <f t="shared" si="5"/>
        <v>33481.837</v>
      </c>
      <c r="R65">
        <f t="shared" si="6"/>
        <v>9.5954227794191533E-5</v>
      </c>
      <c r="S65" s="4"/>
      <c r="T65" s="138"/>
    </row>
    <row r="66" spans="1:20">
      <c r="A66" t="s">
        <v>130</v>
      </c>
      <c r="B66" s="4"/>
      <c r="C66" s="85">
        <v>51091.429700000001</v>
      </c>
      <c r="D66" s="14"/>
      <c r="E66" s="10">
        <f t="shared" si="1"/>
        <v>17593.006235143908</v>
      </c>
      <c r="F66">
        <f t="shared" si="2"/>
        <v>17593</v>
      </c>
      <c r="G66" s="9">
        <f t="shared" si="3"/>
        <v>2.2337900009006262E-3</v>
      </c>
      <c r="N66" s="9">
        <f>+G66</f>
        <v>2.2337900009006262E-3</v>
      </c>
      <c r="P66" s="9">
        <f t="shared" si="4"/>
        <v>5.8128839040882839E-3</v>
      </c>
      <c r="Q66" s="11">
        <f t="shared" si="5"/>
        <v>36072.929700000001</v>
      </c>
      <c r="R66">
        <f t="shared" si="6"/>
        <v>1.2809913167835062E-5</v>
      </c>
      <c r="S66" s="4">
        <v>1</v>
      </c>
    </row>
    <row r="67" spans="1:20">
      <c r="A67" s="144" t="s">
        <v>42</v>
      </c>
      <c r="B67" s="145" t="s">
        <v>39</v>
      </c>
      <c r="C67" s="146">
        <v>51314.614999999998</v>
      </c>
      <c r="D67" s="146">
        <v>2E-3</v>
      </c>
      <c r="E67" s="10">
        <f t="shared" si="1"/>
        <v>18215.979954332899</v>
      </c>
      <c r="F67">
        <f t="shared" si="2"/>
        <v>18216</v>
      </c>
      <c r="G67" s="9">
        <f t="shared" si="3"/>
        <v>-7.1815199989941902E-3</v>
      </c>
      <c r="H67" s="9">
        <f>+G67</f>
        <v>-7.1815199989941902E-3</v>
      </c>
      <c r="Q67" s="11">
        <f t="shared" si="5"/>
        <v>36296.114999999998</v>
      </c>
      <c r="R67"/>
      <c r="S67"/>
    </row>
    <row r="68" spans="1:20">
      <c r="A68" s="96" t="s">
        <v>42</v>
      </c>
      <c r="B68" s="97" t="s">
        <v>39</v>
      </c>
      <c r="C68" s="98">
        <v>51338.803819784996</v>
      </c>
      <c r="D68" s="98"/>
      <c r="E68" s="10">
        <f t="shared" si="1"/>
        <v>18283.497837563798</v>
      </c>
      <c r="F68">
        <f t="shared" si="2"/>
        <v>18283.5</v>
      </c>
      <c r="G68" s="9">
        <f t="shared" si="3"/>
        <v>-7.7471000258810818E-4</v>
      </c>
      <c r="H68" s="9">
        <f>G68</f>
        <v>-7.7471000258810818E-4</v>
      </c>
      <c r="P68" s="9">
        <f>C$15+C$16*F68+C$17*SIN(RADIANS(C$18)*F68+RADIANS(C$19))</f>
        <v>3.3958774788663015E-3</v>
      </c>
      <c r="Q68" s="11">
        <f t="shared" si="5"/>
        <v>36320.303819784996</v>
      </c>
      <c r="R68">
        <f>+(P68-G68)^2</f>
        <v>1.7393799940464232E-5</v>
      </c>
      <c r="S68"/>
    </row>
    <row r="69" spans="1:20">
      <c r="A69" s="144" t="s">
        <v>42</v>
      </c>
      <c r="B69" s="145" t="s">
        <v>39</v>
      </c>
      <c r="C69" s="146">
        <v>51615.201000000001</v>
      </c>
      <c r="D69" s="146">
        <v>2E-3</v>
      </c>
      <c r="E69" s="10">
        <f t="shared" si="1"/>
        <v>19055.001065293818</v>
      </c>
      <c r="F69">
        <f t="shared" si="2"/>
        <v>19055</v>
      </c>
      <c r="G69" s="9">
        <f t="shared" si="3"/>
        <v>3.8165000296430662E-4</v>
      </c>
      <c r="H69" s="9">
        <f>+G69</f>
        <v>3.8165000296430662E-4</v>
      </c>
      <c r="Q69" s="11">
        <f t="shared" si="5"/>
        <v>36596.701000000001</v>
      </c>
      <c r="R69"/>
      <c r="S69"/>
    </row>
    <row r="70" spans="1:20">
      <c r="A70" s="96" t="s">
        <v>38</v>
      </c>
      <c r="B70" s="97" t="s">
        <v>39</v>
      </c>
      <c r="C70" s="98">
        <v>52016.981609549999</v>
      </c>
      <c r="D70" s="98"/>
      <c r="E70" s="10">
        <f t="shared" si="1"/>
        <v>20176.48514435003</v>
      </c>
      <c r="F70">
        <f t="shared" si="2"/>
        <v>20176.5</v>
      </c>
      <c r="G70" s="9">
        <f t="shared" si="3"/>
        <v>-5.322155004250817E-3</v>
      </c>
      <c r="L70" s="9">
        <f>G70</f>
        <v>-5.322155004250817E-3</v>
      </c>
      <c r="P70" s="9">
        <f>C$15+C$16*F70+C$17*SIN(RADIANS(C$18)*F70+RADIANS(C$19))</f>
        <v>-3.3771162742709158E-3</v>
      </c>
      <c r="Q70" s="11">
        <f t="shared" si="5"/>
        <v>36998.481609549999</v>
      </c>
      <c r="R70">
        <f>+(P70-G70)^2</f>
        <v>3.7831756611218272E-6</v>
      </c>
      <c r="S70" s="4"/>
    </row>
    <row r="71" spans="1:20">
      <c r="A71" s="144" t="s">
        <v>38</v>
      </c>
      <c r="B71" s="145" t="s">
        <v>39</v>
      </c>
      <c r="C71" s="146">
        <v>52034.711000000003</v>
      </c>
      <c r="D71" s="146">
        <v>3.0000000000000001E-3</v>
      </c>
      <c r="E71" s="10">
        <f t="shared" si="1"/>
        <v>20225.972921132787</v>
      </c>
      <c r="F71">
        <f t="shared" si="2"/>
        <v>20226</v>
      </c>
      <c r="G71" s="9">
        <f t="shared" si="3"/>
        <v>-9.7012199985329062E-3</v>
      </c>
      <c r="L71" s="9">
        <f>+G71</f>
        <v>-9.7012199985329062E-3</v>
      </c>
      <c r="Q71" s="11">
        <f t="shared" si="5"/>
        <v>37016.211000000003</v>
      </c>
      <c r="R71"/>
      <c r="S71" s="4"/>
    </row>
    <row r="72" spans="1:20">
      <c r="A72" s="144" t="s">
        <v>38</v>
      </c>
      <c r="B72" s="145" t="s">
        <v>39</v>
      </c>
      <c r="C72" s="146">
        <v>52475.012000000002</v>
      </c>
      <c r="D72" s="146">
        <v>2E-3</v>
      </c>
      <c r="E72" s="10">
        <f t="shared" si="1"/>
        <v>21454.978377731561</v>
      </c>
      <c r="F72">
        <f t="shared" si="2"/>
        <v>21455</v>
      </c>
      <c r="G72" s="9">
        <f t="shared" si="3"/>
        <v>-7.7463499983423389E-3</v>
      </c>
      <c r="L72" s="9">
        <f>+G72</f>
        <v>-7.7463499983423389E-3</v>
      </c>
      <c r="Q72" s="11">
        <f t="shared" si="5"/>
        <v>37456.512000000002</v>
      </c>
      <c r="R72"/>
      <c r="S72" s="4"/>
    </row>
    <row r="73" spans="1:20">
      <c r="A73" t="s">
        <v>131</v>
      </c>
      <c r="B73" s="74" t="s">
        <v>39</v>
      </c>
      <c r="C73" s="79">
        <v>52725.434500000003</v>
      </c>
      <c r="D73" s="79">
        <v>1E-4</v>
      </c>
      <c r="E73" s="10">
        <f t="shared" ref="E73:E108" si="9">+(C73-C$7)/C$8</f>
        <v>22153.978877287787</v>
      </c>
      <c r="F73">
        <f t="shared" ref="F73:F104" si="10">ROUND(2*E73,0)/2</f>
        <v>22154</v>
      </c>
      <c r="G73" s="9">
        <f t="shared" ref="G73:G104" si="11">+C73-(C$7+F73*C$8)</f>
        <v>-7.5673799947253428E-3</v>
      </c>
      <c r="N73" s="9">
        <f>G73</f>
        <v>-7.5673799947253428E-3</v>
      </c>
      <c r="P73" s="9">
        <f t="shared" ref="P73:P79" si="12">C$15+C$16*F73+C$17*SIN(RADIANS(C$18)*F73+RADIANS(C$19))</f>
        <v>-1.0014304766776047E-2</v>
      </c>
      <c r="Q73" s="11">
        <f t="shared" ref="Q73:Q108" si="13">+C73-15018.5</f>
        <v>37706.934500000003</v>
      </c>
      <c r="R73">
        <f t="shared" ref="R73:R79" si="14">+(P73-G73)^2</f>
        <v>5.9874408400753906E-6</v>
      </c>
      <c r="S73" s="4">
        <v>1</v>
      </c>
    </row>
    <row r="74" spans="1:20">
      <c r="A74" t="s">
        <v>131</v>
      </c>
      <c r="B74" s="74" t="s">
        <v>41</v>
      </c>
      <c r="C74" s="79">
        <v>52725.613499999999</v>
      </c>
      <c r="D74" s="79">
        <v>2.0000000000000001E-4</v>
      </c>
      <c r="E74" s="10">
        <f t="shared" si="9"/>
        <v>22154.47851725392</v>
      </c>
      <c r="F74">
        <f t="shared" si="10"/>
        <v>22154.5</v>
      </c>
      <c r="G74" s="9">
        <f t="shared" si="11"/>
        <v>-7.6963649989920668E-3</v>
      </c>
      <c r="N74" s="9">
        <f>G74</f>
        <v>-7.6963649989920668E-3</v>
      </c>
      <c r="P74" s="9">
        <f t="shared" si="12"/>
        <v>-1.001585542641354E-2</v>
      </c>
      <c r="Q74" s="11">
        <f t="shared" si="13"/>
        <v>37707.113499999999</v>
      </c>
      <c r="R74">
        <f t="shared" si="14"/>
        <v>5.3800358428998509E-6</v>
      </c>
      <c r="S74" s="4">
        <v>1</v>
      </c>
    </row>
    <row r="75" spans="1:20">
      <c r="A75" t="s">
        <v>131</v>
      </c>
      <c r="B75" s="74" t="s">
        <v>39</v>
      </c>
      <c r="C75" s="79">
        <v>52726.509700000002</v>
      </c>
      <c r="D75" s="79">
        <v>1E-4</v>
      </c>
      <c r="E75" s="10">
        <f t="shared" si="9"/>
        <v>22156.980066626296</v>
      </c>
      <c r="F75">
        <f t="shared" si="10"/>
        <v>22157</v>
      </c>
      <c r="G75" s="9">
        <f t="shared" si="11"/>
        <v>-7.1412899997085333E-3</v>
      </c>
      <c r="N75" s="9">
        <f>G75</f>
        <v>-7.1412899997085333E-3</v>
      </c>
      <c r="P75" s="9">
        <f t="shared" si="12"/>
        <v>-1.0023607498159396E-2</v>
      </c>
      <c r="Q75" s="11">
        <f t="shared" si="13"/>
        <v>37708.009700000002</v>
      </c>
      <c r="R75">
        <f t="shared" si="14"/>
        <v>8.3077541618760391E-6</v>
      </c>
      <c r="S75" s="4">
        <v>1</v>
      </c>
    </row>
    <row r="76" spans="1:20">
      <c r="A76" t="s">
        <v>150</v>
      </c>
      <c r="B76" s="74"/>
      <c r="C76" s="107">
        <v>52727.404699999999</v>
      </c>
      <c r="D76" s="79"/>
      <c r="E76" s="10">
        <f t="shared" si="9"/>
        <v>22159.478266456983</v>
      </c>
      <c r="F76">
        <f t="shared" si="10"/>
        <v>22159.5</v>
      </c>
      <c r="G76" s="9">
        <f t="shared" si="11"/>
        <v>-7.7862149992142804E-3</v>
      </c>
      <c r="L76" s="9">
        <f>G76</f>
        <v>-7.7862149992142804E-3</v>
      </c>
      <c r="P76" s="9">
        <f t="shared" si="12"/>
        <v>-1.0031357524687588E-2</v>
      </c>
      <c r="Q76" s="11">
        <f t="shared" si="13"/>
        <v>37708.904699999999</v>
      </c>
      <c r="R76">
        <f t="shared" si="14"/>
        <v>5.0406649596886618E-6</v>
      </c>
      <c r="S76"/>
    </row>
    <row r="77" spans="1:20">
      <c r="A77" t="s">
        <v>131</v>
      </c>
      <c r="B77" s="74" t="s">
        <v>41</v>
      </c>
      <c r="C77" s="79">
        <v>52727.404999999999</v>
      </c>
      <c r="D77" s="79">
        <v>2.0000000000000001E-4</v>
      </c>
      <c r="E77" s="10">
        <f t="shared" si="9"/>
        <v>22159.479103842401</v>
      </c>
      <c r="F77">
        <f t="shared" si="10"/>
        <v>22159.5</v>
      </c>
      <c r="G77" s="9">
        <f t="shared" si="11"/>
        <v>-7.4862149995169602E-3</v>
      </c>
      <c r="N77" s="9">
        <f>G77</f>
        <v>-7.4862149995169602E-3</v>
      </c>
      <c r="P77" s="9">
        <f t="shared" si="12"/>
        <v>-1.0031357524687588E-2</v>
      </c>
      <c r="Q77" s="11">
        <f t="shared" si="13"/>
        <v>37708.904999999999</v>
      </c>
      <c r="R77">
        <f t="shared" si="14"/>
        <v>6.4777504734319193E-6</v>
      </c>
      <c r="S77" s="4">
        <v>1</v>
      </c>
    </row>
    <row r="78" spans="1:20">
      <c r="A78" t="s">
        <v>131</v>
      </c>
      <c r="B78" s="74" t="s">
        <v>39</v>
      </c>
      <c r="C78" s="79">
        <v>52727.584699999999</v>
      </c>
      <c r="D78" s="79">
        <v>2.9999999999999997E-4</v>
      </c>
      <c r="E78" s="10">
        <f t="shared" si="9"/>
        <v>22159.980697707852</v>
      </c>
      <c r="F78">
        <f t="shared" si="10"/>
        <v>22160</v>
      </c>
      <c r="G78" s="9">
        <f t="shared" si="11"/>
        <v>-6.9151999996392988E-3</v>
      </c>
      <c r="N78" s="9">
        <f>G78</f>
        <v>-6.9151999996392988E-3</v>
      </c>
      <c r="P78" s="9">
        <f t="shared" si="12"/>
        <v>-1.0032907284429361E-2</v>
      </c>
      <c r="Q78" s="11">
        <f t="shared" si="13"/>
        <v>37709.084699999999</v>
      </c>
      <c r="R78">
        <f t="shared" si="14"/>
        <v>9.7200987136330218E-6</v>
      </c>
      <c r="S78" s="4">
        <v>1</v>
      </c>
    </row>
    <row r="79" spans="1:20">
      <c r="A79" t="s">
        <v>131</v>
      </c>
      <c r="B79" s="74" t="s">
        <v>41</v>
      </c>
      <c r="C79" s="79">
        <v>52730.630400000002</v>
      </c>
      <c r="D79" s="79">
        <v>4.0000000000000002E-4</v>
      </c>
      <c r="E79" s="10">
        <f t="shared" si="9"/>
        <v>22168.482113600992</v>
      </c>
      <c r="F79">
        <f t="shared" si="10"/>
        <v>22168.5</v>
      </c>
      <c r="G79" s="9">
        <f t="shared" si="11"/>
        <v>-6.407945002138149E-3</v>
      </c>
      <c r="N79" s="9">
        <f>G79</f>
        <v>-6.407945002138149E-3</v>
      </c>
      <c r="P79" s="9">
        <f t="shared" si="12"/>
        <v>-1.0059240661596126E-2</v>
      </c>
      <c r="Q79" s="11">
        <f t="shared" si="13"/>
        <v>37712.130400000002</v>
      </c>
      <c r="R79">
        <f t="shared" si="14"/>
        <v>1.333195999277666E-5</v>
      </c>
      <c r="S79" s="4">
        <v>1</v>
      </c>
    </row>
    <row r="80" spans="1:20">
      <c r="A80" s="144" t="s">
        <v>38</v>
      </c>
      <c r="B80" s="145" t="s">
        <v>39</v>
      </c>
      <c r="C80" s="146">
        <v>52773.798999999999</v>
      </c>
      <c r="D80" s="146">
        <v>2E-3</v>
      </c>
      <c r="E80" s="10">
        <f t="shared" si="9"/>
        <v>22288.97796746852</v>
      </c>
      <c r="F80">
        <f t="shared" si="10"/>
        <v>22289</v>
      </c>
      <c r="G80" s="9">
        <f t="shared" si="11"/>
        <v>-7.893330002843868E-3</v>
      </c>
      <c r="L80" s="9">
        <f>+G80</f>
        <v>-7.893330002843868E-3</v>
      </c>
      <c r="Q80" s="11">
        <f t="shared" si="13"/>
        <v>37755.298999999999</v>
      </c>
      <c r="R80"/>
      <c r="S80" s="4"/>
    </row>
    <row r="81" spans="1:19">
      <c r="A81" s="144" t="s">
        <v>38</v>
      </c>
      <c r="B81" s="145" t="s">
        <v>39</v>
      </c>
      <c r="C81" s="146">
        <v>53132.762999999999</v>
      </c>
      <c r="D81" s="146">
        <v>3.0000000000000001E-3</v>
      </c>
      <c r="E81" s="10">
        <f t="shared" si="9"/>
        <v>23290.948698224351</v>
      </c>
      <c r="F81">
        <f t="shared" si="10"/>
        <v>23291</v>
      </c>
      <c r="G81" s="9">
        <f t="shared" si="11"/>
        <v>-1.8379270004516002E-2</v>
      </c>
      <c r="L81" s="9">
        <f>+G81</f>
        <v>-1.8379270004516002E-2</v>
      </c>
      <c r="Q81" s="11">
        <f t="shared" si="13"/>
        <v>38114.262999999999</v>
      </c>
      <c r="R81"/>
      <c r="S81" s="4"/>
    </row>
    <row r="82" spans="1:19">
      <c r="A82" t="s">
        <v>129</v>
      </c>
      <c r="B82" s="74" t="s">
        <v>39</v>
      </c>
      <c r="C82" s="79">
        <v>53189.010199999997</v>
      </c>
      <c r="D82" s="79"/>
      <c r="E82" s="10">
        <f t="shared" si="9"/>
        <v>23447.950648522896</v>
      </c>
      <c r="F82">
        <f t="shared" si="10"/>
        <v>23448</v>
      </c>
      <c r="G82" s="9">
        <f t="shared" si="11"/>
        <v>-1.7680560005828738E-2</v>
      </c>
      <c r="N82" s="9">
        <f>G82</f>
        <v>-1.7680560005828738E-2</v>
      </c>
      <c r="P82" s="9">
        <f t="shared" ref="P82:P89" si="15">C$15+C$16*F82+C$17*SIN(RADIANS(C$18)*F82+RADIANS(C$19))</f>
        <v>-1.3718937014338795E-2</v>
      </c>
      <c r="Q82" s="11">
        <f t="shared" si="13"/>
        <v>38170.510199999997</v>
      </c>
      <c r="R82">
        <f t="shared" ref="R82:R89" si="16">+(P82-G82)^2</f>
        <v>1.5694456726701729E-5</v>
      </c>
      <c r="S82" s="4">
        <v>1</v>
      </c>
    </row>
    <row r="83" spans="1:19" ht="13.5" thickBot="1">
      <c r="A83" s="133" t="s">
        <v>129</v>
      </c>
      <c r="B83" s="158"/>
      <c r="C83" s="159">
        <v>53190.977599999998</v>
      </c>
      <c r="D83" s="160"/>
      <c r="E83" s="82">
        <f t="shared" si="9"/>
        <v>23453.442222094873</v>
      </c>
      <c r="F83" s="133">
        <f t="shared" si="10"/>
        <v>23453.5</v>
      </c>
      <c r="G83" s="83">
        <f t="shared" si="11"/>
        <v>-2.0699395005067345E-2</v>
      </c>
      <c r="H83" s="83"/>
      <c r="I83" s="83"/>
      <c r="J83" s="83"/>
      <c r="N83" s="9">
        <f>G83</f>
        <v>-2.0699395005067345E-2</v>
      </c>
      <c r="O83" s="83"/>
      <c r="P83" s="83">
        <f t="shared" si="15"/>
        <v>-1.3733222644178734E-2</v>
      </c>
      <c r="Q83" s="134">
        <f t="shared" si="13"/>
        <v>38172.477599999998</v>
      </c>
      <c r="R83" s="133">
        <f t="shared" si="16"/>
        <v>4.8527557361608396E-5</v>
      </c>
      <c r="S83" s="4">
        <v>1</v>
      </c>
    </row>
    <row r="84" spans="1:19">
      <c r="A84" t="s">
        <v>132</v>
      </c>
      <c r="B84" s="74" t="s">
        <v>41</v>
      </c>
      <c r="C84" s="79">
        <v>53438.895199999999</v>
      </c>
      <c r="D84" s="79">
        <v>2.9999999999999997E-4</v>
      </c>
      <c r="E84" s="10">
        <f t="shared" si="9"/>
        <v>24145.450832538347</v>
      </c>
      <c r="F84">
        <f t="shared" si="10"/>
        <v>24145.5</v>
      </c>
      <c r="G84" s="9">
        <f t="shared" si="11"/>
        <v>-1.7614634998608381E-2</v>
      </c>
      <c r="N84" s="9">
        <f>G84</f>
        <v>-1.7614634998608381E-2</v>
      </c>
      <c r="P84" s="9">
        <f t="shared" si="15"/>
        <v>-1.5418216388050085E-2</v>
      </c>
      <c r="Q84" s="11">
        <f t="shared" si="13"/>
        <v>38420.395199999999</v>
      </c>
      <c r="R84">
        <f t="shared" si="16"/>
        <v>4.8242547128068325E-6</v>
      </c>
      <c r="S84" s="4">
        <v>1</v>
      </c>
    </row>
    <row r="85" spans="1:19">
      <c r="A85" t="s">
        <v>133</v>
      </c>
      <c r="B85" s="29" t="s">
        <v>39</v>
      </c>
      <c r="C85" s="30">
        <v>53450.538699999997</v>
      </c>
      <c r="D85" s="31">
        <v>4.0000000000000002E-4</v>
      </c>
      <c r="E85" s="10">
        <f t="shared" si="9"/>
        <v>24177.95115625759</v>
      </c>
      <c r="F85">
        <f t="shared" si="10"/>
        <v>24178</v>
      </c>
      <c r="G85" s="9">
        <f t="shared" si="11"/>
        <v>-1.7498660003184341E-2</v>
      </c>
      <c r="N85" s="9">
        <f>G85</f>
        <v>-1.7498660003184341E-2</v>
      </c>
      <c r="P85" s="9">
        <f t="shared" si="15"/>
        <v>-1.5491644298019311E-2</v>
      </c>
      <c r="Q85" s="11">
        <f t="shared" si="13"/>
        <v>38432.038699999997</v>
      </c>
      <c r="R85">
        <f t="shared" si="16"/>
        <v>4.0281120407790815E-6</v>
      </c>
      <c r="S85" s="4">
        <v>1</v>
      </c>
    </row>
    <row r="86" spans="1:19">
      <c r="A86" s="99" t="s">
        <v>49</v>
      </c>
      <c r="B86" s="97" t="s">
        <v>41</v>
      </c>
      <c r="C86" s="100">
        <v>53509.829700000002</v>
      </c>
      <c r="D86" s="100">
        <v>5.9999999999999995E-4</v>
      </c>
      <c r="E86" s="10">
        <f t="shared" si="9"/>
        <v>24343.449219008307</v>
      </c>
      <c r="F86">
        <f t="shared" si="10"/>
        <v>24343.5</v>
      </c>
      <c r="G86" s="9">
        <f t="shared" si="11"/>
        <v>-1.8192695002653636E-2</v>
      </c>
      <c r="L86" s="9">
        <f>G86</f>
        <v>-1.8192695002653636E-2</v>
      </c>
      <c r="P86" s="9">
        <f t="shared" si="15"/>
        <v>-1.5857252490079833E-2</v>
      </c>
      <c r="Q86" s="11">
        <f t="shared" si="13"/>
        <v>38491.329700000002</v>
      </c>
      <c r="R86">
        <f t="shared" si="16"/>
        <v>5.4542917295370379E-6</v>
      </c>
      <c r="S86" s="4"/>
    </row>
    <row r="87" spans="1:19">
      <c r="A87" s="99" t="s">
        <v>49</v>
      </c>
      <c r="B87" s="97" t="s">
        <v>41</v>
      </c>
      <c r="C87" s="100">
        <v>53511.6204</v>
      </c>
      <c r="D87" s="100">
        <v>1E-3</v>
      </c>
      <c r="E87" s="10">
        <f t="shared" si="9"/>
        <v>24348.447572569003</v>
      </c>
      <c r="F87">
        <f t="shared" si="10"/>
        <v>24348.5</v>
      </c>
      <c r="G87" s="9">
        <f t="shared" si="11"/>
        <v>-1.8782544997520745E-2</v>
      </c>
      <c r="L87" s="9">
        <f>G87</f>
        <v>-1.8782544997520745E-2</v>
      </c>
      <c r="P87" s="9">
        <f t="shared" si="15"/>
        <v>-1.5868079821680883E-2</v>
      </c>
      <c r="Q87" s="11">
        <f t="shared" si="13"/>
        <v>38493.1204</v>
      </c>
      <c r="R87">
        <f t="shared" si="16"/>
        <v>8.4941072611832747E-6</v>
      </c>
      <c r="S87" s="4"/>
    </row>
    <row r="88" spans="1:19">
      <c r="A88" s="99" t="s">
        <v>49</v>
      </c>
      <c r="B88" s="97" t="s">
        <v>39</v>
      </c>
      <c r="C88" s="100">
        <v>53511.798499999997</v>
      </c>
      <c r="D88" s="100">
        <v>2.0999999999999999E-3</v>
      </c>
      <c r="E88" s="10">
        <f t="shared" si="9"/>
        <v>24348.944700378881</v>
      </c>
      <c r="F88">
        <f t="shared" si="10"/>
        <v>24349</v>
      </c>
      <c r="G88" s="9">
        <f t="shared" si="11"/>
        <v>-1.9811530000879429E-2</v>
      </c>
      <c r="L88" s="9">
        <f>G88</f>
        <v>-1.9811530000879429E-2</v>
      </c>
      <c r="P88" s="9">
        <f t="shared" si="15"/>
        <v>-1.5869161845324536E-2</v>
      </c>
      <c r="Q88" s="11">
        <f t="shared" si="13"/>
        <v>38493.298499999997</v>
      </c>
      <c r="R88">
        <f t="shared" si="16"/>
        <v>1.5542266673933293E-5</v>
      </c>
      <c r="S88" s="4"/>
    </row>
    <row r="89" spans="1:19">
      <c r="A89" s="99" t="s">
        <v>49</v>
      </c>
      <c r="B89" s="97" t="s">
        <v>41</v>
      </c>
      <c r="C89" s="100">
        <v>53517.711300000003</v>
      </c>
      <c r="D89" s="100">
        <v>1.2999999999999999E-3</v>
      </c>
      <c r="E89" s="10">
        <f t="shared" si="9"/>
        <v>24365.449008712916</v>
      </c>
      <c r="F89">
        <f t="shared" si="10"/>
        <v>24365.5</v>
      </c>
      <c r="G89" s="9">
        <f t="shared" si="11"/>
        <v>-1.826803499716334E-2</v>
      </c>
      <c r="L89" s="9">
        <f>G89</f>
        <v>-1.826803499716334E-2</v>
      </c>
      <c r="P89" s="9">
        <f t="shared" si="15"/>
        <v>-1.5904796183002928E-2</v>
      </c>
      <c r="Q89" s="11">
        <f t="shared" si="13"/>
        <v>38499.211300000003</v>
      </c>
      <c r="R89">
        <f t="shared" si="16"/>
        <v>5.5848976927543144E-6</v>
      </c>
      <c r="S89" s="4"/>
    </row>
    <row r="90" spans="1:19">
      <c r="A90" s="144" t="s">
        <v>38</v>
      </c>
      <c r="B90" s="145" t="s">
        <v>39</v>
      </c>
      <c r="C90" s="146">
        <v>53521.474999999999</v>
      </c>
      <c r="D90" s="146">
        <v>2E-3</v>
      </c>
      <c r="E90" s="10">
        <f t="shared" si="9"/>
        <v>24375.954567040051</v>
      </c>
      <c r="F90">
        <f t="shared" si="10"/>
        <v>24376</v>
      </c>
      <c r="G90" s="9">
        <f t="shared" si="11"/>
        <v>-1.6276720001769718E-2</v>
      </c>
      <c r="L90" s="9">
        <f>+G90</f>
        <v>-1.6276720001769718E-2</v>
      </c>
      <c r="Q90" s="11">
        <f t="shared" si="13"/>
        <v>38502.974999999999</v>
      </c>
      <c r="R90"/>
      <c r="S90" s="4"/>
    </row>
    <row r="91" spans="1:19">
      <c r="A91" t="s">
        <v>131</v>
      </c>
      <c r="B91" s="29"/>
      <c r="C91" s="143">
        <v>54164.364999999998</v>
      </c>
      <c r="D91" s="31"/>
      <c r="E91" s="10">
        <f t="shared" si="9"/>
        <v>26170.443605204364</v>
      </c>
      <c r="F91">
        <f t="shared" si="10"/>
        <v>26170.5</v>
      </c>
      <c r="G91" s="9">
        <f t="shared" si="11"/>
        <v>-2.0203885003866162E-2</v>
      </c>
      <c r="N91" s="9">
        <f>G91</f>
        <v>-2.0203885003866162E-2</v>
      </c>
      <c r="P91" s="9">
        <f>C$15+C$16*F91+C$17*SIN(RADIANS(C$18)*F91+RADIANS(C$19))</f>
        <v>-1.8892037650578796E-2</v>
      </c>
      <c r="Q91" s="11">
        <f t="shared" si="13"/>
        <v>39145.864999999998</v>
      </c>
      <c r="R91">
        <f>+(P91-G91)^2</f>
        <v>1.7209434783270674E-6</v>
      </c>
      <c r="S91" s="4">
        <v>1</v>
      </c>
    </row>
    <row r="92" spans="1:19">
      <c r="A92" s="28" t="s">
        <v>160</v>
      </c>
      <c r="B92" s="74" t="s">
        <v>41</v>
      </c>
      <c r="C92" s="79">
        <v>54233.502</v>
      </c>
      <c r="D92" s="132">
        <v>1.5E-3</v>
      </c>
      <c r="E92" s="10">
        <f t="shared" si="9"/>
        <v>26363.424657377476</v>
      </c>
      <c r="F92">
        <f t="shared" si="10"/>
        <v>26363.5</v>
      </c>
      <c r="G92" s="9">
        <f t="shared" si="11"/>
        <v>-2.6992095001332927E-2</v>
      </c>
      <c r="L92" s="9">
        <f t="shared" ref="L92:L103" si="17">G92</f>
        <v>-2.6992095001332927E-2</v>
      </c>
      <c r="Q92" s="11">
        <f t="shared" si="13"/>
        <v>39215.002</v>
      </c>
      <c r="R92"/>
      <c r="S92"/>
    </row>
    <row r="93" spans="1:19">
      <c r="A93" s="28" t="s">
        <v>160</v>
      </c>
      <c r="B93" s="74" t="s">
        <v>39</v>
      </c>
      <c r="C93" s="79">
        <v>54301.390500000001</v>
      </c>
      <c r="D93" s="132">
        <v>2E-3</v>
      </c>
      <c r="E93" s="10">
        <f t="shared" si="9"/>
        <v>26552.920790568875</v>
      </c>
      <c r="F93">
        <f t="shared" si="10"/>
        <v>26553</v>
      </c>
      <c r="G93" s="9">
        <f t="shared" si="11"/>
        <v>-2.8377410002576653E-2</v>
      </c>
      <c r="L93" s="9">
        <f t="shared" si="17"/>
        <v>-2.8377410002576653E-2</v>
      </c>
      <c r="Q93" s="11">
        <f t="shared" si="13"/>
        <v>39282.890500000001</v>
      </c>
      <c r="R93"/>
      <c r="S93" s="4"/>
    </row>
    <row r="94" spans="1:19">
      <c r="A94" s="28" t="s">
        <v>160</v>
      </c>
      <c r="B94" s="74" t="s">
        <v>39</v>
      </c>
      <c r="C94" s="79">
        <v>54539.633500000004</v>
      </c>
      <c r="D94" s="132">
        <v>5.0000000000000001E-4</v>
      </c>
      <c r="E94" s="10">
        <f t="shared" si="9"/>
        <v>27217.924837792172</v>
      </c>
      <c r="F94">
        <f t="shared" si="10"/>
        <v>27218</v>
      </c>
      <c r="G94" s="9">
        <f t="shared" si="11"/>
        <v>-2.6927459999569692E-2</v>
      </c>
      <c r="L94" s="9">
        <f t="shared" si="17"/>
        <v>-2.6927459999569692E-2</v>
      </c>
      <c r="Q94" s="11">
        <f t="shared" si="13"/>
        <v>39521.133500000004</v>
      </c>
      <c r="R94"/>
      <c r="S94"/>
    </row>
    <row r="95" spans="1:19">
      <c r="A95" s="28" t="s">
        <v>160</v>
      </c>
      <c r="B95" s="74" t="s">
        <v>41</v>
      </c>
      <c r="C95" s="79">
        <v>54644.423999999999</v>
      </c>
      <c r="D95" s="132">
        <v>1E-3</v>
      </c>
      <c r="E95" s="10">
        <f t="shared" si="9"/>
        <v>27510.42495998065</v>
      </c>
      <c r="F95">
        <f t="shared" si="10"/>
        <v>27510.5</v>
      </c>
      <c r="G95" s="9">
        <f t="shared" si="11"/>
        <v>-2.6883685000939295E-2</v>
      </c>
      <c r="L95" s="9">
        <f t="shared" si="17"/>
        <v>-2.6883685000939295E-2</v>
      </c>
      <c r="Q95" s="11">
        <f t="shared" si="13"/>
        <v>39625.923999999999</v>
      </c>
      <c r="R95"/>
      <c r="S95" s="4"/>
    </row>
    <row r="96" spans="1:19">
      <c r="A96" s="28" t="s">
        <v>160</v>
      </c>
      <c r="B96" s="74" t="s">
        <v>39</v>
      </c>
      <c r="C96" s="79">
        <v>54646.394999999997</v>
      </c>
      <c r="D96" s="132">
        <v>2.9999999999999997E-4</v>
      </c>
      <c r="E96" s="10">
        <f t="shared" si="9"/>
        <v>27515.926582177632</v>
      </c>
      <c r="F96">
        <f t="shared" si="10"/>
        <v>27516</v>
      </c>
      <c r="G96" s="9">
        <f t="shared" si="11"/>
        <v>-2.6302520003810059E-2</v>
      </c>
      <c r="L96" s="9">
        <f t="shared" si="17"/>
        <v>-2.6302520003810059E-2</v>
      </c>
      <c r="Q96" s="11">
        <f t="shared" si="13"/>
        <v>39627.894999999997</v>
      </c>
      <c r="R96"/>
      <c r="S96"/>
    </row>
    <row r="97" spans="1:19">
      <c r="A97" s="28" t="s">
        <v>160</v>
      </c>
      <c r="B97" s="74" t="s">
        <v>39</v>
      </c>
      <c r="C97" s="79">
        <v>54656.426500000001</v>
      </c>
      <c r="D97" s="132">
        <v>1.5E-3</v>
      </c>
      <c r="E97" s="10">
        <f t="shared" si="9"/>
        <v>27543.927354916908</v>
      </c>
      <c r="F97">
        <f t="shared" si="10"/>
        <v>27544</v>
      </c>
      <c r="G97" s="9">
        <f t="shared" si="11"/>
        <v>-2.6025679995655082E-2</v>
      </c>
      <c r="L97" s="9">
        <f t="shared" si="17"/>
        <v>-2.6025679995655082E-2</v>
      </c>
      <c r="Q97" s="11">
        <f t="shared" si="13"/>
        <v>39637.926500000001</v>
      </c>
      <c r="R97"/>
      <c r="S97"/>
    </row>
    <row r="98" spans="1:19">
      <c r="A98" s="99" t="s">
        <v>182</v>
      </c>
      <c r="B98" s="97" t="s">
        <v>39</v>
      </c>
      <c r="C98" s="100">
        <v>54667.352200000001</v>
      </c>
      <c r="D98" s="100">
        <v>1E-4</v>
      </c>
      <c r="E98" s="10">
        <f t="shared" si="9"/>
        <v>27574.424094459086</v>
      </c>
      <c r="F98">
        <f t="shared" si="10"/>
        <v>27574.5</v>
      </c>
      <c r="G98" s="9">
        <f t="shared" si="11"/>
        <v>-2.719376500317594E-2</v>
      </c>
      <c r="L98" s="9">
        <f t="shared" si="17"/>
        <v>-2.719376500317594E-2</v>
      </c>
      <c r="Q98" s="11">
        <f t="shared" si="13"/>
        <v>39648.852200000001</v>
      </c>
      <c r="R98"/>
      <c r="S98"/>
    </row>
    <row r="99" spans="1:19">
      <c r="A99" s="123" t="s">
        <v>125</v>
      </c>
      <c r="B99" s="124" t="s">
        <v>41</v>
      </c>
      <c r="C99" s="123">
        <v>54667.3531</v>
      </c>
      <c r="D99" s="123">
        <v>6.9999999999999999E-4</v>
      </c>
      <c r="E99" s="10">
        <f t="shared" si="9"/>
        <v>27574.42660661534</v>
      </c>
      <c r="F99">
        <f t="shared" si="10"/>
        <v>27574.5</v>
      </c>
      <c r="G99" s="9">
        <f t="shared" si="11"/>
        <v>-2.629376500408398E-2</v>
      </c>
      <c r="L99" s="9">
        <f t="shared" si="17"/>
        <v>-2.629376500408398E-2</v>
      </c>
      <c r="Q99" s="11">
        <f t="shared" si="13"/>
        <v>39648.8531</v>
      </c>
      <c r="R99"/>
      <c r="S99" s="4"/>
    </row>
    <row r="100" spans="1:19">
      <c r="A100" s="28" t="s">
        <v>160</v>
      </c>
      <c r="B100" s="74" t="s">
        <v>39</v>
      </c>
      <c r="C100" s="79">
        <v>54894.668599999997</v>
      </c>
      <c r="D100" s="79"/>
      <c r="E100" s="10">
        <f t="shared" si="9"/>
        <v>28208.92888998393</v>
      </c>
      <c r="F100">
        <f t="shared" si="10"/>
        <v>28209</v>
      </c>
      <c r="G100" s="9">
        <f t="shared" si="11"/>
        <v>-2.5475730006291997E-2</v>
      </c>
      <c r="L100" s="9">
        <f t="shared" si="17"/>
        <v>-2.5475730006291997E-2</v>
      </c>
      <c r="Q100" s="11">
        <f t="shared" si="13"/>
        <v>39876.168599999997</v>
      </c>
      <c r="R100"/>
      <c r="S100" s="4"/>
    </row>
    <row r="101" spans="1:19">
      <c r="A101" s="28" t="s">
        <v>160</v>
      </c>
      <c r="B101" s="74" t="s">
        <v>41</v>
      </c>
      <c r="C101" s="79">
        <v>54971.514000000003</v>
      </c>
      <c r="D101" s="79"/>
      <c r="E101" s="10">
        <f t="shared" si="9"/>
        <v>28423.426281346936</v>
      </c>
      <c r="F101">
        <f t="shared" si="10"/>
        <v>28423.5</v>
      </c>
      <c r="G101" s="9">
        <f t="shared" si="11"/>
        <v>-2.6410294995002914E-2</v>
      </c>
      <c r="L101" s="9">
        <f t="shared" si="17"/>
        <v>-2.6410294995002914E-2</v>
      </c>
      <c r="Q101" s="11">
        <f t="shared" si="13"/>
        <v>39953.014000000003</v>
      </c>
      <c r="R101"/>
      <c r="S101"/>
    </row>
    <row r="102" spans="1:19">
      <c r="A102" s="123" t="s">
        <v>180</v>
      </c>
      <c r="B102" s="124" t="s">
        <v>41</v>
      </c>
      <c r="C102" s="123">
        <v>55652.909099999997</v>
      </c>
      <c r="D102" s="123">
        <v>5.9999999999999995E-4</v>
      </c>
      <c r="E102" s="10">
        <f t="shared" si="9"/>
        <v>30325.394017054237</v>
      </c>
      <c r="F102">
        <f t="shared" si="10"/>
        <v>30325.5</v>
      </c>
      <c r="G102" s="9">
        <f t="shared" si="11"/>
        <v>-3.7969235003401991E-2</v>
      </c>
      <c r="L102" s="9">
        <f t="shared" si="17"/>
        <v>-3.7969235003401991E-2</v>
      </c>
      <c r="Q102" s="11">
        <f t="shared" si="13"/>
        <v>40634.409099999997</v>
      </c>
      <c r="R102"/>
      <c r="S102" s="4"/>
    </row>
    <row r="103" spans="1:19">
      <c r="A103" s="75" t="s">
        <v>185</v>
      </c>
      <c r="B103" s="74" t="s">
        <v>41</v>
      </c>
      <c r="C103" s="157">
        <v>56016.900699999998</v>
      </c>
      <c r="D103" s="75">
        <v>1E-4</v>
      </c>
      <c r="E103" s="10">
        <f t="shared" si="9"/>
        <v>31341.398210903717</v>
      </c>
      <c r="F103">
        <f t="shared" si="10"/>
        <v>31341.5</v>
      </c>
      <c r="G103" s="9">
        <f t="shared" si="11"/>
        <v>-3.6466755002038553E-2</v>
      </c>
      <c r="L103" s="9">
        <f t="shared" si="17"/>
        <v>-3.6466755002038553E-2</v>
      </c>
      <c r="Q103" s="11">
        <f t="shared" si="13"/>
        <v>40998.400699999998</v>
      </c>
      <c r="R103"/>
      <c r="S103" s="4"/>
    </row>
    <row r="104" spans="1:19">
      <c r="A104" s="99" t="s">
        <v>192</v>
      </c>
      <c r="B104" s="97" t="s">
        <v>41</v>
      </c>
      <c r="C104" s="100">
        <v>56067.413800000002</v>
      </c>
      <c r="D104" s="100">
        <v>2.9999999999999997E-4</v>
      </c>
      <c r="E104" s="10">
        <f t="shared" si="9"/>
        <v>31482.394655448981</v>
      </c>
      <c r="F104" s="161">
        <f t="shared" si="10"/>
        <v>31482.5</v>
      </c>
      <c r="G104" s="9">
        <f t="shared" si="11"/>
        <v>-3.7740524996479508E-2</v>
      </c>
      <c r="L104" s="9">
        <f>+G104</f>
        <v>-3.7740524996479508E-2</v>
      </c>
      <c r="Q104" s="11">
        <f t="shared" si="13"/>
        <v>41048.913800000002</v>
      </c>
      <c r="R104"/>
      <c r="S104" s="4"/>
    </row>
    <row r="105" spans="1:19">
      <c r="A105" s="99" t="s">
        <v>192</v>
      </c>
      <c r="B105" s="97" t="s">
        <v>41</v>
      </c>
      <c r="C105" s="100">
        <v>56067.413860000001</v>
      </c>
      <c r="D105" s="100">
        <v>2.0000000000000001E-4</v>
      </c>
      <c r="E105" s="10">
        <f t="shared" si="9"/>
        <v>31482.39482292606</v>
      </c>
      <c r="F105" s="161">
        <f>ROUND(2*E105,0)/2</f>
        <v>31482.5</v>
      </c>
      <c r="G105" s="9">
        <f>+C105-(C$7+F105*C$8)</f>
        <v>-3.7680524997995235E-2</v>
      </c>
      <c r="L105" s="9">
        <f>+G105</f>
        <v>-3.7680524997995235E-2</v>
      </c>
      <c r="Q105" s="11">
        <f t="shared" si="13"/>
        <v>41048.913860000001</v>
      </c>
      <c r="R105"/>
      <c r="S105"/>
    </row>
    <row r="106" spans="1:19">
      <c r="A106" s="99" t="s">
        <v>192</v>
      </c>
      <c r="B106" s="97" t="s">
        <v>41</v>
      </c>
      <c r="C106" s="100">
        <v>56067.414049999999</v>
      </c>
      <c r="D106" s="100">
        <v>2.9999999999999997E-4</v>
      </c>
      <c r="E106" s="10">
        <f t="shared" si="9"/>
        <v>31482.395353270156</v>
      </c>
      <c r="F106" s="161">
        <f>ROUND(2*E106,0)/2</f>
        <v>31482.5</v>
      </c>
      <c r="G106" s="9">
        <f>+C106-(C$7+F106*C$8)</f>
        <v>-3.749052499915706E-2</v>
      </c>
      <c r="L106" s="9">
        <f>+G106</f>
        <v>-3.749052499915706E-2</v>
      </c>
      <c r="Q106" s="11">
        <f t="shared" si="13"/>
        <v>41048.914049999999</v>
      </c>
      <c r="R106"/>
      <c r="S106" s="4"/>
    </row>
    <row r="107" spans="1:19">
      <c r="A107" s="99" t="s">
        <v>192</v>
      </c>
      <c r="B107" s="97" t="s">
        <v>41</v>
      </c>
      <c r="C107" s="100">
        <v>56067.414640000003</v>
      </c>
      <c r="D107" s="100">
        <v>2.0000000000000001E-4</v>
      </c>
      <c r="E107" s="10">
        <f t="shared" si="9"/>
        <v>31482.397000128152</v>
      </c>
      <c r="F107" s="161">
        <f>ROUND(2*E107,0)/2</f>
        <v>31482.5</v>
      </c>
      <c r="G107" s="9">
        <f>+C107-(C$7+F107*C$8)</f>
        <v>-3.690052499587182E-2</v>
      </c>
      <c r="L107" s="9">
        <f>+G107</f>
        <v>-3.690052499587182E-2</v>
      </c>
      <c r="Q107" s="11">
        <f t="shared" si="13"/>
        <v>41048.914640000003</v>
      </c>
      <c r="R107"/>
      <c r="S107" s="4"/>
    </row>
    <row r="108" spans="1:19">
      <c r="A108" s="75" t="s">
        <v>185</v>
      </c>
      <c r="B108" s="74" t="s">
        <v>39</v>
      </c>
      <c r="C108" s="157">
        <v>56093.743999999999</v>
      </c>
      <c r="D108" s="75">
        <v>4.0000000000000002E-4</v>
      </c>
      <c r="E108" s="10">
        <f t="shared" si="9"/>
        <v>31555.889740568782</v>
      </c>
      <c r="F108" s="161">
        <f>ROUND(2*E108,0)/2</f>
        <v>31556</v>
      </c>
      <c r="G108" s="9">
        <f>+C108-(C$7+F108*C$8)</f>
        <v>-3.9501320003182627E-2</v>
      </c>
      <c r="L108" s="9">
        <f>G108</f>
        <v>-3.9501320003182627E-2</v>
      </c>
      <c r="Q108" s="11">
        <f t="shared" si="13"/>
        <v>41075.243999999999</v>
      </c>
      <c r="R108"/>
      <c r="S108" s="4"/>
    </row>
    <row r="109" spans="1:19">
      <c r="A109" s="140"/>
      <c r="B109" s="141"/>
      <c r="C109" s="142"/>
      <c r="D109" s="142"/>
      <c r="E109" s="139"/>
      <c r="F109" s="138"/>
      <c r="G109" s="136"/>
      <c r="H109" s="136"/>
      <c r="I109" s="136"/>
      <c r="J109" s="136"/>
      <c r="K109" s="136"/>
      <c r="L109" s="136"/>
      <c r="M109" s="136"/>
      <c r="O109" s="136"/>
      <c r="Q109" s="137"/>
      <c r="R109"/>
      <c r="S109"/>
    </row>
    <row r="110" spans="1:19">
      <c r="A110" s="140"/>
      <c r="B110" s="141"/>
      <c r="C110" s="142"/>
      <c r="D110" s="142"/>
      <c r="E110" s="139"/>
      <c r="F110" s="138"/>
      <c r="G110" s="136"/>
      <c r="H110" s="136"/>
      <c r="I110" s="136"/>
      <c r="J110" s="136"/>
      <c r="K110" s="136"/>
      <c r="L110" s="136"/>
      <c r="M110" s="136"/>
      <c r="O110" s="136"/>
      <c r="P110" s="136"/>
      <c r="Q110" s="137"/>
      <c r="R110"/>
      <c r="S110"/>
    </row>
    <row r="111" spans="1:19">
      <c r="A111" s="140"/>
      <c r="B111" s="141"/>
      <c r="C111" s="142"/>
      <c r="D111" s="142"/>
      <c r="E111" s="139"/>
      <c r="F111" s="138"/>
      <c r="G111" s="136"/>
      <c r="H111" s="136"/>
      <c r="I111" s="136"/>
      <c r="J111" s="136"/>
      <c r="K111" s="136"/>
      <c r="L111" s="136"/>
      <c r="M111" s="136"/>
      <c r="O111" s="136"/>
      <c r="P111" s="136"/>
      <c r="Q111" s="137"/>
      <c r="R111"/>
      <c r="S111"/>
    </row>
    <row r="112" spans="1:19">
      <c r="C112" s="14"/>
      <c r="D112" s="14"/>
      <c r="R112"/>
      <c r="S112"/>
    </row>
    <row r="113" spans="3:18">
      <c r="C113" s="14"/>
      <c r="D113" s="14"/>
      <c r="R113"/>
    </row>
    <row r="114" spans="3:18">
      <c r="C114" s="14"/>
      <c r="D114" s="14"/>
      <c r="R114"/>
    </row>
    <row r="115" spans="3:18">
      <c r="C115" s="14"/>
      <c r="D115" s="14"/>
      <c r="R115"/>
    </row>
    <row r="116" spans="3:18">
      <c r="C116" s="14"/>
      <c r="D116" s="14"/>
      <c r="R116"/>
    </row>
    <row r="117" spans="3:18">
      <c r="C117" s="14"/>
      <c r="D117" s="14"/>
      <c r="R117"/>
    </row>
    <row r="118" spans="3:18">
      <c r="C118" s="14"/>
      <c r="D118" s="14"/>
      <c r="R118"/>
    </row>
    <row r="119" spans="3:18">
      <c r="C119" s="14"/>
      <c r="D119" s="14"/>
      <c r="R119"/>
    </row>
    <row r="120" spans="3:18">
      <c r="C120" s="14"/>
      <c r="D120" s="14"/>
      <c r="R120"/>
    </row>
    <row r="121" spans="3:18">
      <c r="C121" s="14"/>
      <c r="D121" s="14"/>
      <c r="R121"/>
    </row>
    <row r="122" spans="3:18">
      <c r="C122" s="14"/>
      <c r="D122" s="14"/>
      <c r="R122"/>
    </row>
    <row r="123" spans="3:18">
      <c r="C123" s="14"/>
      <c r="D123" s="14"/>
      <c r="R123"/>
    </row>
    <row r="124" spans="3:18">
      <c r="C124" s="14"/>
      <c r="D124" s="14"/>
      <c r="R124"/>
    </row>
    <row r="125" spans="3:18">
      <c r="C125" s="14"/>
      <c r="D125" s="14"/>
      <c r="R125"/>
    </row>
    <row r="126" spans="3:18">
      <c r="C126" s="14"/>
      <c r="D126" s="14"/>
      <c r="R126"/>
    </row>
    <row r="127" spans="3:18">
      <c r="C127" s="14"/>
      <c r="D127" s="14"/>
      <c r="R127"/>
    </row>
    <row r="128" spans="3:18">
      <c r="C128" s="14"/>
      <c r="D128" s="14"/>
      <c r="R128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AC2523"/>
  <sheetViews>
    <sheetView zoomScale="115" workbookViewId="0"/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3.28515625" style="10" customWidth="1"/>
    <col min="6" max="6" width="15.28515625" customWidth="1"/>
    <col min="7" max="7" width="10.57031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-70000</v>
      </c>
      <c r="W2" s="38">
        <f t="shared" ref="W2:W19" si="0">+D$11+D$12*V2+D$13*V2^2</f>
        <v>-3.2863710752027542E-2</v>
      </c>
    </row>
    <row r="3" spans="1:23" ht="13.5" thickBot="1">
      <c r="A3" s="102" t="s">
        <v>196</v>
      </c>
      <c r="C3"/>
      <c r="D3"/>
      <c r="E3" t="s">
        <v>211</v>
      </c>
      <c r="G3"/>
      <c r="H3"/>
      <c r="I3"/>
      <c r="J3"/>
      <c r="K3"/>
      <c r="L3"/>
      <c r="M3"/>
      <c r="N3"/>
      <c r="O3"/>
      <c r="P3"/>
      <c r="Q3"/>
      <c r="V3">
        <v>-65000</v>
      </c>
      <c r="W3" s="38">
        <f t="shared" si="0"/>
        <v>6.9190614308000109E-3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F79</v>
      </c>
      <c r="G4" s="34" t="str">
        <f>"G"&amp;E5</f>
        <v>G79</v>
      </c>
      <c r="H4"/>
      <c r="I4"/>
      <c r="J4"/>
      <c r="K4"/>
      <c r="L4"/>
      <c r="M4"/>
      <c r="N4"/>
      <c r="O4"/>
      <c r="P4"/>
      <c r="Q4"/>
      <c r="V4">
        <v>-60000</v>
      </c>
      <c r="W4" s="38">
        <f t="shared" si="0"/>
        <v>4.0959498051438392E-2</v>
      </c>
    </row>
    <row r="5" spans="1:23" ht="13.5" thickTop="1">
      <c r="A5" s="35" t="s">
        <v>48</v>
      </c>
      <c r="C5"/>
      <c r="D5"/>
      <c r="E5" s="36">
        <v>79</v>
      </c>
      <c r="G5"/>
      <c r="H5"/>
      <c r="I5"/>
      <c r="J5"/>
      <c r="K5"/>
      <c r="L5"/>
      <c r="M5"/>
      <c r="N5"/>
      <c r="O5"/>
      <c r="P5"/>
      <c r="Q5"/>
      <c r="V5">
        <v>-55000</v>
      </c>
      <c r="W5" s="38">
        <f t="shared" si="0"/>
        <v>6.9257599109887491E-2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-50000</v>
      </c>
      <c r="W6" s="38">
        <f t="shared" si="0"/>
        <v>9.1813364606147307E-2</v>
      </c>
    </row>
    <row r="7" spans="1:23">
      <c r="A7" t="s">
        <v>5</v>
      </c>
      <c r="C7" s="9">
        <v>54644.4323</v>
      </c>
      <c r="D7"/>
      <c r="E7"/>
      <c r="G7"/>
      <c r="H7"/>
      <c r="I7"/>
      <c r="J7"/>
      <c r="K7"/>
      <c r="L7"/>
      <c r="M7"/>
      <c r="N7"/>
      <c r="O7"/>
      <c r="P7"/>
      <c r="Q7"/>
      <c r="V7">
        <v>-45000</v>
      </c>
      <c r="W7" s="38">
        <f t="shared" si="0"/>
        <v>0.10862679454021784</v>
      </c>
    </row>
    <row r="8" spans="1:23">
      <c r="A8" t="s">
        <v>6</v>
      </c>
      <c r="C8" s="12">
        <v>0.35825792000000001</v>
      </c>
      <c r="D8"/>
      <c r="E8"/>
      <c r="G8"/>
      <c r="H8"/>
      <c r="I8"/>
      <c r="J8"/>
      <c r="K8"/>
      <c r="L8"/>
      <c r="M8" s="4"/>
      <c r="N8" s="4"/>
      <c r="O8" s="4"/>
      <c r="P8" s="4"/>
      <c r="Q8" s="4"/>
      <c r="R8" s="4"/>
      <c r="V8">
        <v>-40000</v>
      </c>
      <c r="W8" s="38">
        <f t="shared" si="0"/>
        <v>0.11969788891209915</v>
      </c>
    </row>
    <row r="9" spans="1:23">
      <c r="A9" s="15" t="s">
        <v>45</v>
      </c>
      <c r="B9" s="16"/>
      <c r="C9" s="17">
        <v>8</v>
      </c>
      <c r="D9" s="16" t="s">
        <v>46</v>
      </c>
      <c r="E9" s="16"/>
      <c r="G9"/>
      <c r="H9"/>
      <c r="I9"/>
      <c r="J9"/>
      <c r="K9"/>
      <c r="L9"/>
      <c r="M9"/>
      <c r="N9"/>
      <c r="O9"/>
      <c r="P9"/>
      <c r="Q9"/>
      <c r="V9">
        <v>-35000</v>
      </c>
      <c r="W9" s="38">
        <f t="shared" si="0"/>
        <v>0.1250266477217912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-30000</v>
      </c>
      <c r="W10" s="38">
        <f t="shared" si="0"/>
        <v>0.12461307096929393</v>
      </c>
    </row>
    <row r="11" spans="1:23">
      <c r="A11" s="16" t="s">
        <v>19</v>
      </c>
      <c r="B11" s="16"/>
      <c r="C11" s="32">
        <f ca="1">INTERCEPT(INDIRECT($G$4):G956,INDIRECT($F$4):F956)</f>
        <v>-9.1189533372587634E-3</v>
      </c>
      <c r="D11" s="4">
        <f>+E11*F11</f>
        <v>1.542563648336029E-3</v>
      </c>
      <c r="E11" s="39">
        <v>15.425636483360289</v>
      </c>
      <c r="F11" s="38">
        <v>1E-4</v>
      </c>
      <c r="H11"/>
      <c r="I11"/>
      <c r="J11"/>
      <c r="K11"/>
      <c r="L11"/>
      <c r="M11"/>
      <c r="N11" t="s">
        <v>205</v>
      </c>
      <c r="O11"/>
      <c r="P11" s="38">
        <f>P5*86400*300000</f>
        <v>0</v>
      </c>
      <c r="Q11" t="s">
        <v>206</v>
      </c>
      <c r="V11">
        <v>-25000</v>
      </c>
      <c r="W11" s="38">
        <f t="shared" si="0"/>
        <v>0.11845715865460744</v>
      </c>
    </row>
    <row r="12" spans="1:23">
      <c r="A12" s="16" t="s">
        <v>20</v>
      </c>
      <c r="B12" s="16"/>
      <c r="C12" s="32">
        <f ca="1">SLOPE(INDIRECT($G$4):G956,INDIRECT($F$4):F956)</f>
        <v>-2.5035933579120978E-6</v>
      </c>
      <c r="D12" s="4">
        <f>+E12*F12</f>
        <v>-7.5477515813454882E-6</v>
      </c>
      <c r="E12" s="40">
        <v>-7.547751581345489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-20000</v>
      </c>
      <c r="W12" s="38">
        <f t="shared" si="0"/>
        <v>0.10655891077773168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-1.1484671124378527E-10</v>
      </c>
      <c r="E13" s="41">
        <v>-0.11484671124378526</v>
      </c>
      <c r="F13" s="38">
        <v>1.0000000000000001E-9</v>
      </c>
      <c r="G13"/>
      <c r="H13"/>
      <c r="I13"/>
      <c r="J13"/>
      <c r="K13"/>
      <c r="L13"/>
      <c r="M13"/>
      <c r="N13" t="s">
        <v>207</v>
      </c>
      <c r="O13"/>
      <c r="P13" t="e">
        <f>2*PI()/P7</f>
        <v>#DIV/0!</v>
      </c>
      <c r="Q13" t="s">
        <v>208</v>
      </c>
      <c r="V13">
        <v>-15000</v>
      </c>
      <c r="W13" s="38">
        <f t="shared" si="0"/>
        <v>8.8918327338666669E-2</v>
      </c>
    </row>
    <row r="14" spans="1:23">
      <c r="A14" s="16"/>
      <c r="B14" s="16"/>
      <c r="C14" s="16"/>
      <c r="D14" s="16"/>
      <c r="E14" s="16">
        <f>SUM(T21:T134)</f>
        <v>0.12175915562181619</v>
      </c>
      <c r="G14"/>
      <c r="H14"/>
      <c r="I14"/>
      <c r="J14"/>
      <c r="K14"/>
      <c r="L14"/>
      <c r="M14"/>
      <c r="N14"/>
      <c r="O14"/>
      <c r="P14" t="e">
        <f>P13*C8</f>
        <v>#DIV/0!</v>
      </c>
      <c r="Q14" t="s">
        <v>209</v>
      </c>
      <c r="V14">
        <v>-10000</v>
      </c>
      <c r="W14" s="38">
        <f t="shared" si="0"/>
        <v>6.5535408337412393E-2</v>
      </c>
    </row>
    <row r="15" spans="1:23">
      <c r="A15" s="18" t="s">
        <v>21</v>
      </c>
      <c r="B15" s="16"/>
      <c r="C15" s="19">
        <f ca="1">(C7+C11)+(C8+C12)*INT(MAX(F21:F3497))</f>
        <v>56093.566340411533</v>
      </c>
      <c r="D15" s="34">
        <f>+C7+INT(MAX(F21:F1571))*C8+D11+D12*INT(MAX(F21:F4006))+D13*INT(MAX(F21:F4033)^2)</f>
        <v>56093.554718719191</v>
      </c>
      <c r="E15" s="20" t="s">
        <v>187</v>
      </c>
      <c r="F15" s="17">
        <v>1</v>
      </c>
      <c r="G15"/>
      <c r="H15"/>
      <c r="I15"/>
      <c r="J15"/>
      <c r="K15"/>
      <c r="L15"/>
      <c r="M15"/>
      <c r="N15"/>
      <c r="O15"/>
      <c r="P15" t="e">
        <f>P14/365.24</f>
        <v>#DIV/0!</v>
      </c>
      <c r="Q15" t="s">
        <v>210</v>
      </c>
      <c r="V15">
        <v>-5000</v>
      </c>
      <c r="W15" s="38">
        <f t="shared" si="0"/>
        <v>3.6410153773968834E-2</v>
      </c>
    </row>
    <row r="16" spans="1:23">
      <c r="A16" s="22" t="s">
        <v>7</v>
      </c>
      <c r="B16" s="16"/>
      <c r="C16" s="23">
        <f ca="1">+C8+C12</f>
        <v>0.3582554164066421</v>
      </c>
      <c r="D16" s="34">
        <f>+C8+D12+2*D13*F81</f>
        <v>0.35825109222245144</v>
      </c>
      <c r="E16" s="20" t="s">
        <v>188</v>
      </c>
      <c r="F16" s="21">
        <f ca="1">NOW()+15018.5+$C$5/24</f>
        <v>60359.149418634261</v>
      </c>
      <c r="G16"/>
      <c r="H16"/>
      <c r="I16"/>
      <c r="J16"/>
      <c r="K16"/>
      <c r="L16"/>
      <c r="M16"/>
      <c r="N16"/>
      <c r="O16"/>
      <c r="P16"/>
      <c r="Q16"/>
      <c r="V16">
        <v>0</v>
      </c>
      <c r="W16" s="38">
        <f t="shared" si="0"/>
        <v>1.542563648336029E-3</v>
      </c>
    </row>
    <row r="17" spans="1:23" ht="13.5" thickBot="1">
      <c r="A17" s="20" t="s">
        <v>43</v>
      </c>
      <c r="B17" s="16"/>
      <c r="C17" s="16">
        <f>COUNT(C21:C2155)</f>
        <v>70</v>
      </c>
      <c r="D17" s="20"/>
      <c r="E17" s="20" t="s">
        <v>189</v>
      </c>
      <c r="F17" s="21">
        <f ca="1">ROUND(2*(F16-$C$7)/$C$8,0)/2+F15</f>
        <v>15952.5</v>
      </c>
      <c r="G17"/>
      <c r="H17"/>
      <c r="I17"/>
      <c r="J17"/>
      <c r="K17"/>
      <c r="L17"/>
      <c r="M17"/>
      <c r="N17" t="s">
        <v>204</v>
      </c>
      <c r="O17"/>
      <c r="P17">
        <f>2*P4*365.24/C8</f>
        <v>0</v>
      </c>
      <c r="Q17" t="s">
        <v>163</v>
      </c>
      <c r="V17">
        <v>5000</v>
      </c>
      <c r="W17" s="38">
        <f t="shared" si="0"/>
        <v>-3.9067362039486048E-2</v>
      </c>
    </row>
    <row r="18" spans="1:23" ht="14.25" thickTop="1" thickBot="1">
      <c r="A18" s="22" t="s">
        <v>151</v>
      </c>
      <c r="B18" s="16"/>
      <c r="C18" s="110">
        <f ca="1">+C15</f>
        <v>56093.566340411533</v>
      </c>
      <c r="D18" s="111">
        <f ca="1">+C16</f>
        <v>0.3582554164066421</v>
      </c>
      <c r="E18" s="20" t="s">
        <v>190</v>
      </c>
      <c r="F18" s="34">
        <f ca="1">ROUND(2*(F16-$C$15)/$C$16,0)/2+F15</f>
        <v>11907.5</v>
      </c>
      <c r="G18"/>
      <c r="H18"/>
      <c r="I18"/>
      <c r="J18"/>
      <c r="K18"/>
      <c r="L18"/>
      <c r="M18"/>
      <c r="N18"/>
      <c r="O18"/>
      <c r="P18"/>
      <c r="Q18"/>
      <c r="V18">
        <v>10000</v>
      </c>
      <c r="W18" s="38">
        <f t="shared" si="0"/>
        <v>-8.5419623289497371E-2</v>
      </c>
    </row>
    <row r="19" spans="1:23" ht="13.5" thickBot="1">
      <c r="A19" s="22" t="s">
        <v>152</v>
      </c>
      <c r="C19" s="112">
        <f>+D15</f>
        <v>56093.554718719191</v>
      </c>
      <c r="D19" s="113">
        <f>+D16</f>
        <v>0.35825109222245144</v>
      </c>
      <c r="E19" s="20" t="s">
        <v>191</v>
      </c>
      <c r="F19" s="24">
        <f ca="1">+$C$15+$C$16*F18-15018.5-$C$5/24</f>
        <v>45340.992711273626</v>
      </c>
      <c r="G19"/>
      <c r="H19"/>
      <c r="I19"/>
      <c r="J19"/>
      <c r="K19"/>
      <c r="L19"/>
      <c r="M19"/>
      <c r="N19"/>
      <c r="O19"/>
      <c r="P19"/>
      <c r="Q19"/>
      <c r="V19">
        <v>15000</v>
      </c>
      <c r="W19" s="38">
        <f t="shared" si="0"/>
        <v>-0.13751422010169798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175" t="s">
        <v>198</v>
      </c>
      <c r="I20" s="175" t="s">
        <v>199</v>
      </c>
      <c r="J20" s="175" t="s">
        <v>195</v>
      </c>
      <c r="K20" s="175" t="s">
        <v>200</v>
      </c>
      <c r="L20" s="175" t="s">
        <v>201</v>
      </c>
      <c r="M20" s="175" t="s">
        <v>28</v>
      </c>
      <c r="N20" s="175" t="s">
        <v>29</v>
      </c>
      <c r="O20" s="175" t="s">
        <v>26</v>
      </c>
      <c r="P20" s="175" t="s">
        <v>25</v>
      </c>
      <c r="Q20" s="175" t="s">
        <v>18</v>
      </c>
      <c r="R20" s="175" t="s">
        <v>202</v>
      </c>
      <c r="S20" s="175" t="s">
        <v>155</v>
      </c>
      <c r="T20" s="175" t="s">
        <v>203</v>
      </c>
      <c r="U20" s="150" t="s">
        <v>186</v>
      </c>
    </row>
    <row r="21" spans="1:23">
      <c r="A21" s="73" t="s">
        <v>124</v>
      </c>
      <c r="B21" s="37" t="s">
        <v>39</v>
      </c>
      <c r="C21" s="76">
        <v>29645.01</v>
      </c>
      <c r="D21" s="76"/>
      <c r="E21" s="10">
        <f t="shared" ref="E21:E52" si="1">+(C21-C$7)/C$8</f>
        <v>-69780.515389583015</v>
      </c>
      <c r="F21">
        <f t="shared" ref="F21:F52" si="2">ROUND(2*E21,0)/2</f>
        <v>-69780.5</v>
      </c>
      <c r="G21" s="9">
        <f t="shared" ref="G21:G52" si="3">+C21-(C$7+F21*C$8)</f>
        <v>-5.5134400026872754E-3</v>
      </c>
      <c r="H21" s="9">
        <f>G21</f>
        <v>-5.5134400026872754E-3</v>
      </c>
      <c r="O21" s="9">
        <f t="shared" ref="O21:O61" ca="1" si="4">+C$11+C$12*F21</f>
        <v>0.16558304297452639</v>
      </c>
      <c r="P21" s="9">
        <f t="shared" ref="P21:P52" si="5">+D$11+D$12*F21+D$13*F21^2</f>
        <v>-3.0996736130870728E-2</v>
      </c>
      <c r="Q21" s="11">
        <f t="shared" ref="Q21:Q52" si="6">+C21-15018.5</f>
        <v>14626.509999999998</v>
      </c>
      <c r="R21">
        <f t="shared" ref="R21:R52" si="7">+(P21-G21)^2</f>
        <v>6.493983815566897E-4</v>
      </c>
      <c r="S21">
        <v>0.1</v>
      </c>
      <c r="T21">
        <f t="shared" ref="T21:T50" si="8">S21*R21</f>
        <v>6.493983815566897E-5</v>
      </c>
    </row>
    <row r="22" spans="1:23">
      <c r="A22" s="32" t="s">
        <v>178</v>
      </c>
      <c r="B22" s="19" t="s">
        <v>41</v>
      </c>
      <c r="C22" s="84">
        <v>44366.7353</v>
      </c>
      <c r="D22" s="125" t="s">
        <v>179</v>
      </c>
      <c r="E22" s="10">
        <f t="shared" si="1"/>
        <v>-28687.982669022364</v>
      </c>
      <c r="F22" s="13">
        <f t="shared" si="2"/>
        <v>-28688</v>
      </c>
      <c r="G22" s="9">
        <f t="shared" si="3"/>
        <v>6.2089599960017949E-3</v>
      </c>
      <c r="H22" s="9">
        <f t="shared" ref="H22:H60" si="9">G22</f>
        <v>6.2089599960017949E-3</v>
      </c>
      <c r="O22" s="9">
        <f t="shared" ca="1" si="4"/>
        <v>6.2704132914523494E-2</v>
      </c>
      <c r="P22" s="9">
        <f t="shared" si="5"/>
        <v>0.12355346330636022</v>
      </c>
      <c r="Q22" s="11">
        <f t="shared" si="6"/>
        <v>29348.2353</v>
      </c>
      <c r="R22">
        <f t="shared" si="7"/>
        <v>1.3769732457154718E-2</v>
      </c>
      <c r="S22">
        <v>1</v>
      </c>
      <c r="T22">
        <f t="shared" si="8"/>
        <v>1.3769732457154718E-2</v>
      </c>
    </row>
    <row r="23" spans="1:23">
      <c r="A23" s="32" t="s">
        <v>178</v>
      </c>
      <c r="B23" s="19" t="s">
        <v>41</v>
      </c>
      <c r="C23" s="84">
        <v>44408.6512</v>
      </c>
      <c r="D23" s="125" t="s">
        <v>179</v>
      </c>
      <c r="E23" s="10">
        <f t="shared" si="1"/>
        <v>-28570.983441203476</v>
      </c>
      <c r="F23" s="13">
        <f t="shared" si="2"/>
        <v>-28571</v>
      </c>
      <c r="G23" s="9">
        <f t="shared" si="3"/>
        <v>5.9323200039216317E-3</v>
      </c>
      <c r="H23" s="9">
        <f t="shared" si="9"/>
        <v>5.9323200039216317E-3</v>
      </c>
      <c r="O23" s="9">
        <f t="shared" ca="1" si="4"/>
        <v>6.2411212491647786E-2</v>
      </c>
      <c r="P23" s="9">
        <f t="shared" si="5"/>
        <v>0.12343976928851841</v>
      </c>
      <c r="Q23" s="11">
        <f t="shared" si="6"/>
        <v>29390.1512</v>
      </c>
      <c r="R23">
        <f t="shared" si="7"/>
        <v>1.3808000637372083E-2</v>
      </c>
      <c r="S23">
        <v>1</v>
      </c>
      <c r="T23">
        <f t="shared" si="8"/>
        <v>1.3808000637372083E-2</v>
      </c>
    </row>
    <row r="24" spans="1:23">
      <c r="A24" s="32" t="s">
        <v>178</v>
      </c>
      <c r="B24" s="19" t="s">
        <v>41</v>
      </c>
      <c r="C24" s="84">
        <v>44698.845500000003</v>
      </c>
      <c r="D24" s="125" t="s">
        <v>179</v>
      </c>
      <c r="E24" s="10">
        <f t="shared" si="1"/>
        <v>-27760.968410691374</v>
      </c>
      <c r="F24" s="13">
        <f t="shared" si="2"/>
        <v>-27761</v>
      </c>
      <c r="G24" s="9">
        <f t="shared" si="3"/>
        <v>1.1317119999148417E-2</v>
      </c>
      <c r="H24" s="9">
        <f t="shared" si="9"/>
        <v>1.1317119999148417E-2</v>
      </c>
      <c r="O24" s="9">
        <f t="shared" ca="1" si="4"/>
        <v>6.0383301871738987E-2</v>
      </c>
      <c r="P24" s="9">
        <f t="shared" si="5"/>
        <v>0.12256642190723432</v>
      </c>
      <c r="Q24" s="11">
        <f t="shared" si="6"/>
        <v>29680.345500000003</v>
      </c>
      <c r="R24">
        <f t="shared" si="7"/>
        <v>1.2376407175036446E-2</v>
      </c>
      <c r="S24">
        <v>1</v>
      </c>
      <c r="T24">
        <f t="shared" si="8"/>
        <v>1.2376407175036446E-2</v>
      </c>
    </row>
    <row r="25" spans="1:23">
      <c r="A25" s="32" t="s">
        <v>178</v>
      </c>
      <c r="B25" s="19" t="s">
        <v>39</v>
      </c>
      <c r="C25" s="84">
        <v>44787.515200000002</v>
      </c>
      <c r="D25" s="125" t="s">
        <v>179</v>
      </c>
      <c r="E25" s="10">
        <f t="shared" si="1"/>
        <v>-27513.465996788007</v>
      </c>
      <c r="F25" s="13">
        <f t="shared" si="2"/>
        <v>-27513.5</v>
      </c>
      <c r="G25" s="9">
        <f t="shared" si="3"/>
        <v>1.2181919999420643E-2</v>
      </c>
      <c r="H25" s="9">
        <f t="shared" si="9"/>
        <v>1.2181919999420643E-2</v>
      </c>
      <c r="O25" s="9">
        <f t="shared" ca="1" si="4"/>
        <v>5.9763662515655736E-2</v>
      </c>
      <c r="P25" s="9">
        <f t="shared" si="5"/>
        <v>0.12226950678966088</v>
      </c>
      <c r="Q25" s="11">
        <f t="shared" si="6"/>
        <v>29769.015200000002</v>
      </c>
      <c r="R25">
        <f t="shared" si="7"/>
        <v>1.2119276765298677E-2</v>
      </c>
      <c r="S25">
        <v>1</v>
      </c>
      <c r="T25">
        <f t="shared" si="8"/>
        <v>1.2119276765298677E-2</v>
      </c>
    </row>
    <row r="26" spans="1:23">
      <c r="A26" s="32" t="s">
        <v>178</v>
      </c>
      <c r="B26" s="19" t="s">
        <v>39</v>
      </c>
      <c r="C26" s="84">
        <v>44788.59</v>
      </c>
      <c r="D26" s="125" t="s">
        <v>179</v>
      </c>
      <c r="E26" s="10">
        <f t="shared" si="1"/>
        <v>-27510.4659235447</v>
      </c>
      <c r="F26" s="13">
        <f t="shared" si="2"/>
        <v>-27510.5</v>
      </c>
      <c r="G26" s="9">
        <f t="shared" si="3"/>
        <v>1.2208159998408519E-2</v>
      </c>
      <c r="H26" s="9">
        <f t="shared" si="9"/>
        <v>1.2208159998408519E-2</v>
      </c>
      <c r="O26" s="9">
        <f t="shared" ca="1" si="4"/>
        <v>5.9756151735582005E-2</v>
      </c>
      <c r="P26" s="9">
        <f t="shared" si="5"/>
        <v>0.12226582151123526</v>
      </c>
      <c r="Q26" s="11">
        <f t="shared" si="6"/>
        <v>29770.089999999997</v>
      </c>
      <c r="R26">
        <f t="shared" si="7"/>
        <v>1.2112688857671944E-2</v>
      </c>
      <c r="S26">
        <v>1</v>
      </c>
      <c r="T26">
        <f t="shared" si="8"/>
        <v>1.2112688857671944E-2</v>
      </c>
    </row>
    <row r="27" spans="1:23">
      <c r="A27" s="32" t="s">
        <v>178</v>
      </c>
      <c r="B27" s="19" t="s">
        <v>39</v>
      </c>
      <c r="C27" s="84">
        <v>44789.665099999998</v>
      </c>
      <c r="D27" s="125" t="s">
        <v>179</v>
      </c>
      <c r="E27" s="10">
        <f t="shared" si="1"/>
        <v>-27507.46501291584</v>
      </c>
      <c r="F27" s="13">
        <f t="shared" si="2"/>
        <v>-27507.5</v>
      </c>
      <c r="G27" s="9">
        <f t="shared" si="3"/>
        <v>1.2534399997093715E-2</v>
      </c>
      <c r="H27" s="9">
        <f t="shared" si="9"/>
        <v>1.2534399997093715E-2</v>
      </c>
      <c r="O27" s="9">
        <f t="shared" ca="1" si="4"/>
        <v>5.9748640955508261E-2</v>
      </c>
      <c r="P27" s="9">
        <f t="shared" si="5"/>
        <v>0.12226213416556887</v>
      </c>
      <c r="Q27" s="11">
        <f t="shared" si="6"/>
        <v>29771.165099999998</v>
      </c>
      <c r="R27">
        <f t="shared" si="7"/>
        <v>1.2040175645747551E-2</v>
      </c>
      <c r="S27">
        <v>1</v>
      </c>
      <c r="T27">
        <f t="shared" si="8"/>
        <v>1.2040175645747551E-2</v>
      </c>
    </row>
    <row r="28" spans="1:23">
      <c r="A28" s="32" t="s">
        <v>178</v>
      </c>
      <c r="B28" s="19" t="s">
        <v>41</v>
      </c>
      <c r="C28" s="84">
        <v>44790.560299999997</v>
      </c>
      <c r="D28" s="125" t="s">
        <v>179</v>
      </c>
      <c r="E28" s="10">
        <f t="shared" si="1"/>
        <v>-27504.966254479463</v>
      </c>
      <c r="F28" s="13">
        <f t="shared" si="2"/>
        <v>-27505</v>
      </c>
      <c r="G28" s="9">
        <f t="shared" si="3"/>
        <v>1.2089600000763312E-2</v>
      </c>
      <c r="H28" s="9">
        <f t="shared" si="9"/>
        <v>1.2089600000763312E-2</v>
      </c>
      <c r="O28" s="9">
        <f t="shared" ca="1" si="4"/>
        <v>5.9742381972113484E-2</v>
      </c>
      <c r="P28" s="9">
        <f t="shared" si="5"/>
        <v>0.12225905979837125</v>
      </c>
      <c r="Q28" s="11">
        <f t="shared" si="6"/>
        <v>29772.060299999997</v>
      </c>
      <c r="R28">
        <f t="shared" si="7"/>
        <v>1.2137309872096751E-2</v>
      </c>
      <c r="S28">
        <v>1</v>
      </c>
      <c r="T28">
        <f t="shared" si="8"/>
        <v>1.2137309872096751E-2</v>
      </c>
    </row>
    <row r="29" spans="1:23">
      <c r="A29" s="144" t="s">
        <v>184</v>
      </c>
      <c r="B29" s="145" t="s">
        <v>41</v>
      </c>
      <c r="C29" s="146">
        <v>48500.337</v>
      </c>
      <c r="D29" s="146">
        <v>1E-4</v>
      </c>
      <c r="E29" s="10">
        <f t="shared" si="1"/>
        <v>-17149.921765860752</v>
      </c>
      <c r="F29">
        <f t="shared" si="2"/>
        <v>-17150</v>
      </c>
      <c r="G29" s="9">
        <f t="shared" si="3"/>
        <v>2.8028000000631437E-2</v>
      </c>
      <c r="H29" s="9">
        <f t="shared" si="9"/>
        <v>2.8028000000631437E-2</v>
      </c>
      <c r="O29" s="9">
        <f t="shared" ca="1" si="4"/>
        <v>3.3817672750933718E-2</v>
      </c>
      <c r="P29" s="9">
        <f t="shared" si="5"/>
        <v>9.7207501440610897E-2</v>
      </c>
      <c r="Q29" s="11">
        <f t="shared" si="6"/>
        <v>33481.837</v>
      </c>
      <c r="R29">
        <f t="shared" si="7"/>
        <v>4.7858034194841201E-3</v>
      </c>
      <c r="S29">
        <v>1</v>
      </c>
      <c r="T29">
        <f t="shared" si="8"/>
        <v>4.7858034194841201E-3</v>
      </c>
    </row>
    <row r="30" spans="1:23">
      <c r="A30" s="32" t="s">
        <v>193</v>
      </c>
      <c r="B30" s="19" t="s">
        <v>39</v>
      </c>
      <c r="C30" s="122">
        <v>52725.434500000003</v>
      </c>
      <c r="D30" s="122">
        <v>1E-4</v>
      </c>
      <c r="E30" s="10">
        <f t="shared" si="1"/>
        <v>-5356.469997927742</v>
      </c>
      <c r="F30">
        <f t="shared" si="2"/>
        <v>-5356.5</v>
      </c>
      <c r="G30" s="9">
        <f t="shared" si="3"/>
        <v>1.0748480002803262E-2</v>
      </c>
      <c r="H30" s="9">
        <f t="shared" si="9"/>
        <v>1.0748480002803262E-2</v>
      </c>
      <c r="O30" s="9">
        <f t="shared" ca="1" si="4"/>
        <v>4.2915444843973881E-3</v>
      </c>
      <c r="P30" s="9">
        <f t="shared" si="5"/>
        <v>3.8676902560197339E-2</v>
      </c>
      <c r="Q30" s="11">
        <f t="shared" si="6"/>
        <v>37706.934500000003</v>
      </c>
      <c r="R30">
        <f t="shared" si="7"/>
        <v>7.7999678654435832E-4</v>
      </c>
      <c r="S30">
        <v>1</v>
      </c>
      <c r="T30">
        <f t="shared" si="8"/>
        <v>7.7999678654435832E-4</v>
      </c>
    </row>
    <row r="31" spans="1:23">
      <c r="A31" s="32" t="s">
        <v>193</v>
      </c>
      <c r="B31" s="19" t="s">
        <v>41</v>
      </c>
      <c r="C31" s="122">
        <v>52725.613499999999</v>
      </c>
      <c r="D31" s="122">
        <v>2.0000000000000001E-4</v>
      </c>
      <c r="E31" s="10">
        <f t="shared" si="1"/>
        <v>-5355.9703578918807</v>
      </c>
      <c r="F31">
        <f t="shared" si="2"/>
        <v>-5356</v>
      </c>
      <c r="G31" s="9">
        <f t="shared" si="3"/>
        <v>1.0619519998726901E-2</v>
      </c>
      <c r="H31" s="9">
        <f t="shared" si="9"/>
        <v>1.0619519998726901E-2</v>
      </c>
      <c r="O31" s="9">
        <f t="shared" ca="1" si="4"/>
        <v>4.2902926877184319E-3</v>
      </c>
      <c r="P31" s="9">
        <f t="shared" si="5"/>
        <v>3.8673743832103764E-2</v>
      </c>
      <c r="Q31" s="11">
        <f t="shared" si="6"/>
        <v>37707.113499999999</v>
      </c>
      <c r="R31">
        <f t="shared" si="7"/>
        <v>7.8703947489321049E-4</v>
      </c>
      <c r="S31">
        <v>1</v>
      </c>
      <c r="T31">
        <f t="shared" si="8"/>
        <v>7.8703947489321049E-4</v>
      </c>
    </row>
    <row r="32" spans="1:23">
      <c r="A32" s="32" t="s">
        <v>193</v>
      </c>
      <c r="B32" s="19" t="s">
        <v>39</v>
      </c>
      <c r="C32" s="122">
        <v>52726.509700000002</v>
      </c>
      <c r="D32" s="122">
        <v>1E-4</v>
      </c>
      <c r="E32" s="10">
        <f t="shared" si="1"/>
        <v>-5353.4688081703762</v>
      </c>
      <c r="F32">
        <f t="shared" si="2"/>
        <v>-5353.5</v>
      </c>
      <c r="G32" s="9">
        <f t="shared" si="3"/>
        <v>1.1174719998962246E-2</v>
      </c>
      <c r="H32" s="9">
        <f t="shared" si="9"/>
        <v>1.1174719998962246E-2</v>
      </c>
      <c r="O32" s="9">
        <f t="shared" ca="1" si="4"/>
        <v>4.2840337043236528E-3</v>
      </c>
      <c r="P32" s="9">
        <f t="shared" si="5"/>
        <v>3.865794933028556E-2</v>
      </c>
      <c r="Q32" s="11">
        <f t="shared" si="6"/>
        <v>37708.009700000002</v>
      </c>
      <c r="R32">
        <f t="shared" si="7"/>
        <v>7.5532789447811015E-4</v>
      </c>
      <c r="S32">
        <v>1</v>
      </c>
      <c r="T32">
        <f t="shared" si="8"/>
        <v>7.5532789447811015E-4</v>
      </c>
    </row>
    <row r="33" spans="1:20">
      <c r="A33" s="130" t="s">
        <v>150</v>
      </c>
      <c r="B33" s="131"/>
      <c r="C33" s="132">
        <v>52727.404699999999</v>
      </c>
      <c r="D33" s="122"/>
      <c r="E33" s="10">
        <f t="shared" si="1"/>
        <v>-5350.9706079910284</v>
      </c>
      <c r="F33">
        <f t="shared" si="2"/>
        <v>-5351</v>
      </c>
      <c r="G33" s="9">
        <f t="shared" si="3"/>
        <v>1.052992000040831E-2</v>
      </c>
      <c r="H33" s="9">
        <f t="shared" si="9"/>
        <v>1.052992000040831E-2</v>
      </c>
      <c r="O33" s="9">
        <f t="shared" ca="1" si="4"/>
        <v>4.277774720928872E-3</v>
      </c>
      <c r="P33" s="9">
        <f t="shared" si="5"/>
        <v>3.8642153392883474E-2</v>
      </c>
      <c r="Q33" s="11">
        <f t="shared" si="6"/>
        <v>37708.904699999999</v>
      </c>
      <c r="R33">
        <f t="shared" si="7"/>
        <v>7.9029766631299569E-4</v>
      </c>
      <c r="S33">
        <v>1</v>
      </c>
      <c r="T33">
        <f t="shared" si="8"/>
        <v>7.9029766631299569E-4</v>
      </c>
    </row>
    <row r="34" spans="1:20">
      <c r="A34" s="32" t="s">
        <v>193</v>
      </c>
      <c r="B34" s="19" t="s">
        <v>41</v>
      </c>
      <c r="C34" s="122">
        <v>52727.404999999999</v>
      </c>
      <c r="D34" s="122">
        <v>2.0000000000000001E-4</v>
      </c>
      <c r="E34" s="10">
        <f t="shared" si="1"/>
        <v>-5350.969770605494</v>
      </c>
      <c r="F34">
        <f t="shared" si="2"/>
        <v>-5351</v>
      </c>
      <c r="G34" s="9">
        <f t="shared" si="3"/>
        <v>1.0829920000105631E-2</v>
      </c>
      <c r="H34" s="9">
        <f t="shared" si="9"/>
        <v>1.0829920000105631E-2</v>
      </c>
      <c r="O34" s="9">
        <f t="shared" ca="1" si="4"/>
        <v>4.277774720928872E-3</v>
      </c>
      <c r="P34" s="9">
        <f t="shared" si="5"/>
        <v>3.8642153392883474E-2</v>
      </c>
      <c r="Q34" s="11">
        <f t="shared" si="6"/>
        <v>37708.904999999999</v>
      </c>
      <c r="R34">
        <f t="shared" si="7"/>
        <v>7.7352032629434699E-4</v>
      </c>
      <c r="S34">
        <v>1</v>
      </c>
      <c r="T34">
        <f t="shared" si="8"/>
        <v>7.7352032629434699E-4</v>
      </c>
    </row>
    <row r="35" spans="1:20">
      <c r="A35" s="32" t="s">
        <v>193</v>
      </c>
      <c r="B35" s="19" t="s">
        <v>39</v>
      </c>
      <c r="C35" s="122">
        <v>52727.584699999999</v>
      </c>
      <c r="D35" s="122">
        <v>2.9999999999999997E-4</v>
      </c>
      <c r="E35" s="10">
        <f t="shared" si="1"/>
        <v>-5350.4681766700396</v>
      </c>
      <c r="F35">
        <f t="shared" si="2"/>
        <v>-5350.5</v>
      </c>
      <c r="G35" s="9">
        <f t="shared" si="3"/>
        <v>1.1400960000173654E-2</v>
      </c>
      <c r="H35" s="9">
        <f t="shared" si="9"/>
        <v>1.1400960000173654E-2</v>
      </c>
      <c r="O35" s="9">
        <f t="shared" ca="1" si="4"/>
        <v>4.2765229242499158E-3</v>
      </c>
      <c r="P35" s="9">
        <f t="shared" si="5"/>
        <v>3.8638994033132985E-2</v>
      </c>
      <c r="Q35" s="11">
        <f t="shared" si="6"/>
        <v>37709.084699999999</v>
      </c>
      <c r="R35">
        <f t="shared" si="7"/>
        <v>7.4191049798065078E-4</v>
      </c>
      <c r="S35">
        <v>1</v>
      </c>
      <c r="T35">
        <f t="shared" si="8"/>
        <v>7.4191049798065078E-4</v>
      </c>
    </row>
    <row r="36" spans="1:20">
      <c r="A36" s="32" t="s">
        <v>193</v>
      </c>
      <c r="B36" s="19" t="s">
        <v>41</v>
      </c>
      <c r="C36" s="122">
        <v>52730.630400000002</v>
      </c>
      <c r="D36" s="122">
        <v>4.0000000000000002E-4</v>
      </c>
      <c r="E36" s="10">
        <f t="shared" si="1"/>
        <v>-5341.9667595904048</v>
      </c>
      <c r="F36">
        <f t="shared" si="2"/>
        <v>-5342</v>
      </c>
      <c r="G36" s="9">
        <f t="shared" si="3"/>
        <v>1.1908640000910964E-2</v>
      </c>
      <c r="H36" s="9">
        <f t="shared" si="9"/>
        <v>1.1908640000910964E-2</v>
      </c>
      <c r="O36" s="9">
        <f t="shared" ca="1" si="4"/>
        <v>4.2552423807076627E-3</v>
      </c>
      <c r="P36" s="9">
        <f t="shared" si="5"/>
        <v>3.8585276131601329E-2</v>
      </c>
      <c r="Q36" s="11">
        <f t="shared" si="6"/>
        <v>37712.130400000002</v>
      </c>
      <c r="R36">
        <f t="shared" si="7"/>
        <v>7.116429152492546E-4</v>
      </c>
      <c r="S36">
        <v>1</v>
      </c>
      <c r="T36">
        <f t="shared" si="8"/>
        <v>7.116429152492546E-4</v>
      </c>
    </row>
    <row r="37" spans="1:20">
      <c r="A37" t="s">
        <v>158</v>
      </c>
      <c r="B37" s="145" t="s">
        <v>39</v>
      </c>
      <c r="C37" s="147">
        <v>53189.010199999997</v>
      </c>
      <c r="D37" s="147"/>
      <c r="E37" s="115">
        <f t="shared" si="1"/>
        <v>-4062.4980461004279</v>
      </c>
      <c r="F37" s="116">
        <f t="shared" si="2"/>
        <v>-4062.5</v>
      </c>
      <c r="G37" s="117">
        <f t="shared" si="3"/>
        <v>6.9999999686842784E-4</v>
      </c>
      <c r="H37" s="9">
        <f t="shared" si="9"/>
        <v>6.9999999686842784E-4</v>
      </c>
      <c r="O37" s="9">
        <f t="shared" ca="1" si="4"/>
        <v>1.0518946792591344E-3</v>
      </c>
      <c r="P37" s="9">
        <f t="shared" si="5"/>
        <v>3.0309885092063824E-2</v>
      </c>
      <c r="Q37" s="11">
        <f t="shared" si="6"/>
        <v>38170.510199999997</v>
      </c>
      <c r="R37">
        <f t="shared" si="7"/>
        <v>8.7674529535067443E-4</v>
      </c>
      <c r="S37">
        <v>1</v>
      </c>
      <c r="T37">
        <f t="shared" si="8"/>
        <v>8.7674529535067443E-4</v>
      </c>
    </row>
    <row r="38" spans="1:20">
      <c r="A38" s="144" t="s">
        <v>124</v>
      </c>
      <c r="B38" s="145" t="s">
        <v>41</v>
      </c>
      <c r="C38" s="147">
        <v>53438.895199999999</v>
      </c>
      <c r="D38" s="147">
        <v>2.9999999999999997E-4</v>
      </c>
      <c r="E38" s="10">
        <f t="shared" si="1"/>
        <v>-3364.9977647388823</v>
      </c>
      <c r="F38">
        <f t="shared" si="2"/>
        <v>-3365</v>
      </c>
      <c r="G38" s="9">
        <f t="shared" si="3"/>
        <v>8.0080000043381006E-4</v>
      </c>
      <c r="H38" s="9">
        <f t="shared" si="9"/>
        <v>8.0080000043381006E-4</v>
      </c>
      <c r="O38" s="9">
        <f t="shared" ca="1" si="4"/>
        <v>-6.9436168788455412E-4</v>
      </c>
      <c r="P38" s="9">
        <f t="shared" si="5"/>
        <v>2.5640312567640183E-2</v>
      </c>
      <c r="Q38" s="11">
        <f t="shared" si="6"/>
        <v>38420.395199999999</v>
      </c>
      <c r="R38">
        <f t="shared" si="7"/>
        <v>6.1700138457640333E-4</v>
      </c>
      <c r="S38">
        <v>1</v>
      </c>
      <c r="T38">
        <f t="shared" si="8"/>
        <v>6.1700138457640333E-4</v>
      </c>
    </row>
    <row r="39" spans="1:20">
      <c r="A39" s="144" t="s">
        <v>47</v>
      </c>
      <c r="B39" s="148" t="s">
        <v>39</v>
      </c>
      <c r="C39" s="149">
        <v>53450.538699999997</v>
      </c>
      <c r="D39" s="149">
        <v>4.0000000000000002E-4</v>
      </c>
      <c r="E39" s="10">
        <f t="shared" si="1"/>
        <v>-3332.4974364837576</v>
      </c>
      <c r="F39">
        <f t="shared" si="2"/>
        <v>-3332.5</v>
      </c>
      <c r="G39" s="9">
        <f t="shared" si="3"/>
        <v>9.1839999367948622E-4</v>
      </c>
      <c r="H39" s="9">
        <f t="shared" si="9"/>
        <v>9.1839999367948622E-4</v>
      </c>
      <c r="O39" s="9">
        <f t="shared" ca="1" si="4"/>
        <v>-7.7572847201669813E-4</v>
      </c>
      <c r="P39" s="9">
        <f t="shared" si="5"/>
        <v>2.5420009181324504E-2</v>
      </c>
      <c r="Q39" s="11">
        <f t="shared" si="6"/>
        <v>38432.038699999997</v>
      </c>
      <c r="R39">
        <f t="shared" si="7"/>
        <v>6.0032885278409076E-4</v>
      </c>
      <c r="S39">
        <v>1</v>
      </c>
      <c r="T39">
        <f t="shared" si="8"/>
        <v>6.0032885278409076E-4</v>
      </c>
    </row>
    <row r="40" spans="1:20">
      <c r="A40" s="144" t="s">
        <v>49</v>
      </c>
      <c r="B40" s="145" t="s">
        <v>41</v>
      </c>
      <c r="C40" s="146">
        <v>53509.829700000002</v>
      </c>
      <c r="D40" s="146">
        <v>5.9999999999999995E-4</v>
      </c>
      <c r="E40" s="10">
        <f t="shared" si="1"/>
        <v>-3166.9993506354258</v>
      </c>
      <c r="F40">
        <f t="shared" si="2"/>
        <v>-3167</v>
      </c>
      <c r="G40" s="9">
        <f t="shared" si="3"/>
        <v>2.3263999901246279E-4</v>
      </c>
      <c r="H40" s="9">
        <f t="shared" si="9"/>
        <v>2.3263999901246279E-4</v>
      </c>
      <c r="O40" s="9">
        <f t="shared" ca="1" si="4"/>
        <v>-1.19007317275115E-3</v>
      </c>
      <c r="P40" s="9">
        <f t="shared" si="5"/>
        <v>2.4294393140666972E-2</v>
      </c>
      <c r="Q40" s="11">
        <f t="shared" si="6"/>
        <v>38491.329700000002</v>
      </c>
      <c r="R40">
        <f t="shared" si="7"/>
        <v>5.7896796424992069E-4</v>
      </c>
      <c r="S40">
        <v>1</v>
      </c>
      <c r="T40">
        <f t="shared" si="8"/>
        <v>5.7896796424992069E-4</v>
      </c>
    </row>
    <row r="41" spans="1:20">
      <c r="A41" s="144" t="s">
        <v>49</v>
      </c>
      <c r="B41" s="145" t="s">
        <v>41</v>
      </c>
      <c r="C41" s="146">
        <v>53511.6204</v>
      </c>
      <c r="D41" s="146">
        <v>1E-3</v>
      </c>
      <c r="E41" s="10">
        <f t="shared" si="1"/>
        <v>-3162.0009963771367</v>
      </c>
      <c r="F41">
        <f t="shared" si="2"/>
        <v>-3162</v>
      </c>
      <c r="G41" s="9">
        <f t="shared" si="3"/>
        <v>-3.5696000122698024E-4</v>
      </c>
      <c r="H41" s="9">
        <f t="shared" si="9"/>
        <v>-3.5696000122698024E-4</v>
      </c>
      <c r="O41" s="9">
        <f t="shared" ca="1" si="4"/>
        <v>-1.20259113954071E-3</v>
      </c>
      <c r="P41" s="9">
        <f t="shared" si="5"/>
        <v>2.4260288706937552E-2</v>
      </c>
      <c r="Q41" s="11">
        <f t="shared" si="6"/>
        <v>38493.1204</v>
      </c>
      <c r="R41">
        <f t="shared" si="7"/>
        <v>6.0600893395962828E-4</v>
      </c>
      <c r="S41">
        <v>0.5</v>
      </c>
      <c r="T41">
        <f t="shared" si="8"/>
        <v>3.0300446697981414E-4</v>
      </c>
    </row>
    <row r="42" spans="1:20">
      <c r="A42" s="144" t="s">
        <v>49</v>
      </c>
      <c r="B42" s="145" t="s">
        <v>39</v>
      </c>
      <c r="C42" s="146">
        <v>53511.798499999997</v>
      </c>
      <c r="D42" s="146">
        <v>2.0999999999999999E-3</v>
      </c>
      <c r="E42" s="10">
        <f t="shared" si="1"/>
        <v>-3161.5038684978776</v>
      </c>
      <c r="F42">
        <f t="shared" si="2"/>
        <v>-3161.5</v>
      </c>
      <c r="G42" s="9">
        <f t="shared" si="3"/>
        <v>-1.3859200043953024E-3</v>
      </c>
      <c r="H42" s="9">
        <f t="shared" si="9"/>
        <v>-1.3859200043953024E-3</v>
      </c>
      <c r="O42" s="9">
        <f t="shared" ca="1" si="4"/>
        <v>-1.2038429362196661E-3</v>
      </c>
      <c r="P42" s="9">
        <f t="shared" si="5"/>
        <v>2.4256877947736157E-2</v>
      </c>
      <c r="Q42" s="11">
        <f t="shared" si="6"/>
        <v>38493.298499999997</v>
      </c>
      <c r="R42">
        <f t="shared" si="7"/>
        <v>6.5755308681383733E-4</v>
      </c>
      <c r="S42">
        <v>0.4</v>
      </c>
      <c r="T42">
        <f t="shared" si="8"/>
        <v>2.6302123472553496E-4</v>
      </c>
    </row>
    <row r="43" spans="1:20">
      <c r="A43" s="144" t="s">
        <v>49</v>
      </c>
      <c r="B43" s="145" t="s">
        <v>41</v>
      </c>
      <c r="C43" s="146">
        <v>53517.711300000003</v>
      </c>
      <c r="D43" s="146">
        <v>1.2999999999999999E-3</v>
      </c>
      <c r="E43" s="10">
        <f t="shared" si="1"/>
        <v>-3144.9995578604312</v>
      </c>
      <c r="F43">
        <f t="shared" si="2"/>
        <v>-3145</v>
      </c>
      <c r="G43" s="9">
        <f t="shared" si="3"/>
        <v>1.5840000560274348E-4</v>
      </c>
      <c r="H43" s="9">
        <f t="shared" si="9"/>
        <v>1.5840000560274348E-4</v>
      </c>
      <c r="O43" s="9">
        <f t="shared" ca="1" si="4"/>
        <v>-1.2451522266252162E-3</v>
      </c>
      <c r="P43" s="9">
        <f t="shared" si="5"/>
        <v>2.4144290679587527E-2</v>
      </c>
      <c r="Q43" s="11">
        <f t="shared" si="6"/>
        <v>38499.211300000003</v>
      </c>
      <c r="R43">
        <f t="shared" si="7"/>
        <v>5.7532295142435018E-4</v>
      </c>
      <c r="S43">
        <v>0.5</v>
      </c>
      <c r="T43">
        <f t="shared" si="8"/>
        <v>2.8766147571217509E-4</v>
      </c>
    </row>
    <row r="44" spans="1:20">
      <c r="A44" s="32" t="s">
        <v>193</v>
      </c>
      <c r="B44" s="19" t="s">
        <v>41</v>
      </c>
      <c r="C44" s="122">
        <v>54164.364999999998</v>
      </c>
      <c r="D44" s="122">
        <v>5.0000000000000001E-4</v>
      </c>
      <c r="E44" s="10">
        <f t="shared" si="1"/>
        <v>-1340.0047094562556</v>
      </c>
      <c r="F44">
        <f t="shared" si="2"/>
        <v>-1340</v>
      </c>
      <c r="G44" s="9">
        <f t="shared" si="3"/>
        <v>-1.6872000051080249E-3</v>
      </c>
      <c r="H44" s="9">
        <f t="shared" si="9"/>
        <v>-1.6872000051080249E-3</v>
      </c>
      <c r="O44" s="9">
        <f t="shared" ca="1" si="4"/>
        <v>-5.7641382376565527E-3</v>
      </c>
      <c r="P44" s="9">
        <f t="shared" si="5"/>
        <v>1.1450332012629643E-2</v>
      </c>
      <c r="Q44" s="11">
        <f t="shared" si="6"/>
        <v>39145.864999999998</v>
      </c>
      <c r="R44">
        <f t="shared" si="7"/>
        <v>1.7259474751708234E-4</v>
      </c>
      <c r="S44">
        <v>1</v>
      </c>
      <c r="T44">
        <f t="shared" si="8"/>
        <v>1.7259474751708234E-4</v>
      </c>
    </row>
    <row r="45" spans="1:20">
      <c r="A45" s="28" t="s">
        <v>160</v>
      </c>
      <c r="B45" s="74" t="s">
        <v>41</v>
      </c>
      <c r="C45" s="79">
        <v>54233.502</v>
      </c>
      <c r="D45" s="75">
        <v>1.5E-3</v>
      </c>
      <c r="E45" s="10">
        <f t="shared" si="1"/>
        <v>-1147.0236303498887</v>
      </c>
      <c r="F45">
        <f t="shared" si="2"/>
        <v>-1147</v>
      </c>
      <c r="G45" s="9">
        <f t="shared" si="3"/>
        <v>-8.4657600018545054E-3</v>
      </c>
      <c r="H45" s="9">
        <f t="shared" si="9"/>
        <v>-8.4657600018545054E-3</v>
      </c>
      <c r="O45" s="9">
        <f t="shared" ca="1" si="4"/>
        <v>-6.2473317557335869E-3</v>
      </c>
      <c r="P45" s="9">
        <f t="shared" si="5"/>
        <v>1.0048741345206579E-2</v>
      </c>
      <c r="Q45" s="11">
        <f t="shared" si="6"/>
        <v>39215.002</v>
      </c>
      <c r="R45">
        <f t="shared" si="7"/>
        <v>3.4278676013032666E-4</v>
      </c>
      <c r="S45">
        <v>0.5</v>
      </c>
      <c r="T45">
        <f t="shared" si="8"/>
        <v>1.7139338006516333E-4</v>
      </c>
    </row>
    <row r="46" spans="1:20">
      <c r="A46" s="28" t="s">
        <v>160</v>
      </c>
      <c r="B46" s="74" t="s">
        <v>39</v>
      </c>
      <c r="C46" s="79">
        <v>54301.390500000001</v>
      </c>
      <c r="D46" s="75">
        <v>2E-3</v>
      </c>
      <c r="E46" s="10">
        <f t="shared" si="1"/>
        <v>-957.52747071160093</v>
      </c>
      <c r="F46">
        <f t="shared" si="2"/>
        <v>-957.5</v>
      </c>
      <c r="G46" s="9">
        <f t="shared" si="3"/>
        <v>-9.8415999964345247E-3</v>
      </c>
      <c r="H46" s="9">
        <f t="shared" si="9"/>
        <v>-9.8415999964345247E-3</v>
      </c>
      <c r="O46" s="9">
        <f t="shared" ca="1" si="4"/>
        <v>-6.7217626970579297E-3</v>
      </c>
      <c r="P46" s="9">
        <f t="shared" si="5"/>
        <v>8.6642436048140863E-3</v>
      </c>
      <c r="Q46" s="11">
        <f t="shared" si="6"/>
        <v>39282.890500000001</v>
      </c>
      <c r="R46">
        <f t="shared" si="7"/>
        <v>3.4246624739387414E-4</v>
      </c>
      <c r="S46">
        <v>0.4</v>
      </c>
      <c r="T46">
        <f t="shared" si="8"/>
        <v>1.3698649895754967E-4</v>
      </c>
    </row>
    <row r="47" spans="1:20">
      <c r="A47" s="28" t="s">
        <v>160</v>
      </c>
      <c r="B47" s="74" t="s">
        <v>39</v>
      </c>
      <c r="C47" s="79">
        <v>54539.633500000004</v>
      </c>
      <c r="D47" s="75">
        <v>5.0000000000000001E-4</v>
      </c>
      <c r="E47" s="10">
        <f t="shared" si="1"/>
        <v>-292.52333067750976</v>
      </c>
      <c r="F47">
        <f t="shared" si="2"/>
        <v>-292.5</v>
      </c>
      <c r="G47" s="9">
        <f t="shared" si="3"/>
        <v>-8.3583999949041754E-3</v>
      </c>
      <c r="H47" s="9">
        <f t="shared" si="9"/>
        <v>-8.3583999949041754E-3</v>
      </c>
      <c r="O47" s="9">
        <f t="shared" ca="1" si="4"/>
        <v>-8.3866522800694742E-3</v>
      </c>
      <c r="P47" s="9">
        <f t="shared" si="5"/>
        <v>3.7404551319407332E-3</v>
      </c>
      <c r="Q47" s="11">
        <f t="shared" si="6"/>
        <v>39521.133500000004</v>
      </c>
      <c r="R47">
        <f t="shared" si="7"/>
        <v>1.4638229538038131E-4</v>
      </c>
      <c r="S47">
        <v>1</v>
      </c>
      <c r="T47">
        <f t="shared" si="8"/>
        <v>1.4638229538038131E-4</v>
      </c>
    </row>
    <row r="48" spans="1:20">
      <c r="A48" s="28" t="s">
        <v>160</v>
      </c>
      <c r="B48" s="74" t="s">
        <v>41</v>
      </c>
      <c r="C48" s="79">
        <v>54644.423999999999</v>
      </c>
      <c r="D48" s="75">
        <v>1E-3</v>
      </c>
      <c r="E48" s="10">
        <f t="shared" si="1"/>
        <v>-2.3167666471482707E-2</v>
      </c>
      <c r="F48">
        <f t="shared" si="2"/>
        <v>0</v>
      </c>
      <c r="G48" s="9">
        <f t="shared" si="3"/>
        <v>-8.3000000013271347E-3</v>
      </c>
      <c r="H48" s="9">
        <f t="shared" si="9"/>
        <v>-8.3000000013271347E-3</v>
      </c>
      <c r="O48" s="9">
        <f t="shared" ca="1" si="4"/>
        <v>-9.1189533372587634E-3</v>
      </c>
      <c r="P48" s="9">
        <f t="shared" si="5"/>
        <v>1.542563648336029E-3</v>
      </c>
      <c r="Q48" s="11">
        <f t="shared" si="6"/>
        <v>39625.923999999999</v>
      </c>
      <c r="R48">
        <f t="shared" si="7"/>
        <v>9.6876059197670663E-5</v>
      </c>
      <c r="S48">
        <v>0.5</v>
      </c>
      <c r="T48">
        <f t="shared" si="8"/>
        <v>4.8438029598835331E-5</v>
      </c>
    </row>
    <row r="49" spans="1:21">
      <c r="A49" s="28" t="s">
        <v>160</v>
      </c>
      <c r="B49" s="74" t="s">
        <v>39</v>
      </c>
      <c r="C49" s="79">
        <v>54646.394999999997</v>
      </c>
      <c r="D49" s="75">
        <v>2.9999999999999997E-4</v>
      </c>
      <c r="E49" s="10">
        <f t="shared" si="1"/>
        <v>5.4784552983403767</v>
      </c>
      <c r="F49">
        <f t="shared" si="2"/>
        <v>5.5</v>
      </c>
      <c r="G49" s="9">
        <f t="shared" si="3"/>
        <v>-7.7185600021039136E-3</v>
      </c>
      <c r="H49" s="9">
        <f t="shared" si="9"/>
        <v>-7.7185600021039136E-3</v>
      </c>
      <c r="O49" s="9">
        <f t="shared" ca="1" si="4"/>
        <v>-9.1327231007272795E-3</v>
      </c>
      <c r="P49" s="9">
        <f t="shared" si="5"/>
        <v>1.5010475405256138E-3</v>
      </c>
      <c r="Q49" s="11">
        <f t="shared" si="6"/>
        <v>39627.894999999997</v>
      </c>
      <c r="R49">
        <f t="shared" si="7"/>
        <v>8.500116324011127E-5</v>
      </c>
      <c r="S49">
        <v>1</v>
      </c>
      <c r="T49">
        <f t="shared" si="8"/>
        <v>8.500116324011127E-5</v>
      </c>
    </row>
    <row r="50" spans="1:21">
      <c r="A50" s="28" t="s">
        <v>160</v>
      </c>
      <c r="B50" s="74" t="s">
        <v>39</v>
      </c>
      <c r="C50" s="79">
        <v>54656.426500000001</v>
      </c>
      <c r="D50" s="75">
        <v>1.5E-3</v>
      </c>
      <c r="E50" s="10">
        <f t="shared" si="1"/>
        <v>33.479231945524056</v>
      </c>
      <c r="F50">
        <f t="shared" si="2"/>
        <v>33.5</v>
      </c>
      <c r="G50" s="9">
        <f t="shared" si="3"/>
        <v>-7.440319997840561E-3</v>
      </c>
      <c r="H50" s="9">
        <f t="shared" si="9"/>
        <v>-7.440319997840561E-3</v>
      </c>
      <c r="O50" s="9">
        <f t="shared" ca="1" si="4"/>
        <v>-9.202823714748818E-3</v>
      </c>
      <c r="P50" s="9">
        <f t="shared" si="5"/>
        <v>1.289585083639262E-3</v>
      </c>
      <c r="Q50" s="11">
        <f t="shared" si="6"/>
        <v>39637.926500000001</v>
      </c>
      <c r="R50">
        <f t="shared" si="7"/>
        <v>7.621124273164722E-5</v>
      </c>
      <c r="S50">
        <v>0.5</v>
      </c>
      <c r="T50">
        <f t="shared" si="8"/>
        <v>3.810562136582361E-5</v>
      </c>
    </row>
    <row r="51" spans="1:21">
      <c r="A51" s="174" t="s">
        <v>197</v>
      </c>
      <c r="B51" s="74"/>
      <c r="C51" s="79">
        <v>54667.352200000001</v>
      </c>
      <c r="D51" s="75">
        <v>1E-4</v>
      </c>
      <c r="E51" s="10">
        <f t="shared" si="1"/>
        <v>63.975975743957818</v>
      </c>
      <c r="F51">
        <f t="shared" si="2"/>
        <v>64</v>
      </c>
      <c r="G51" s="9">
        <f t="shared" si="3"/>
        <v>-8.6068800010252744E-3</v>
      </c>
      <c r="H51" s="9">
        <f t="shared" si="9"/>
        <v>-8.6068800010252744E-3</v>
      </c>
      <c r="O51" s="9">
        <f t="shared" ca="1" si="4"/>
        <v>-9.2791833121651374E-3</v>
      </c>
      <c r="P51" s="9">
        <f t="shared" si="5"/>
        <v>1.0590371350006631E-3</v>
      </c>
      <c r="Q51" s="11">
        <f t="shared" si="6"/>
        <v>39648.852200000001</v>
      </c>
      <c r="R51">
        <f t="shared" si="7"/>
        <v>9.3429954080519846E-5</v>
      </c>
    </row>
    <row r="52" spans="1:21">
      <c r="A52" s="28" t="s">
        <v>160</v>
      </c>
      <c r="B52" s="74" t="s">
        <v>39</v>
      </c>
      <c r="C52" s="79">
        <v>54894.668599999997</v>
      </c>
      <c r="D52" s="79">
        <v>1E-3</v>
      </c>
      <c r="E52" s="10">
        <f t="shared" si="1"/>
        <v>698.48085982299244</v>
      </c>
      <c r="F52">
        <f t="shared" si="2"/>
        <v>698.5</v>
      </c>
      <c r="G52" s="9">
        <f t="shared" si="3"/>
        <v>-6.8571200026781298E-3</v>
      </c>
      <c r="H52" s="9">
        <f t="shared" si="9"/>
        <v>-6.8571200026781298E-3</v>
      </c>
      <c r="O52" s="9">
        <f t="shared" ca="1" si="4"/>
        <v>-1.0867713297760364E-2</v>
      </c>
      <c r="P52" s="9">
        <f t="shared" si="5"/>
        <v>-3.7855748000547376E-3</v>
      </c>
      <c r="Q52" s="11">
        <f t="shared" si="6"/>
        <v>39876.168599999997</v>
      </c>
      <c r="R52">
        <f t="shared" si="7"/>
        <v>9.4343899317587753E-6</v>
      </c>
      <c r="S52">
        <v>1</v>
      </c>
      <c r="T52">
        <f t="shared" ref="T52:T78" si="10">S52*R52</f>
        <v>9.4343899317587753E-6</v>
      </c>
      <c r="U52" s="108"/>
    </row>
    <row r="53" spans="1:21">
      <c r="A53" s="28" t="s">
        <v>160</v>
      </c>
      <c r="B53" s="74" t="s">
        <v>41</v>
      </c>
      <c r="C53" s="79">
        <v>54971.514000000003</v>
      </c>
      <c r="D53" s="79">
        <v>1E-3</v>
      </c>
      <c r="E53" s="10">
        <f t="shared" ref="E53:E84" si="11">+(C53-C$7)/C$8</f>
        <v>912.97828112216598</v>
      </c>
      <c r="F53">
        <f t="shared" ref="F53:F81" si="12">ROUND(2*E53,0)/2</f>
        <v>913</v>
      </c>
      <c r="G53" s="9">
        <f t="shared" ref="G53:G84" si="13">+C53-(C$7+F53*C$8)</f>
        <v>-7.7809599970350973E-3</v>
      </c>
      <c r="H53" s="9">
        <f t="shared" si="9"/>
        <v>-7.7809599970350973E-3</v>
      </c>
      <c r="O53" s="9">
        <f t="shared" ca="1" si="4"/>
        <v>-1.1404734073032509E-2</v>
      </c>
      <c r="P53" s="9">
        <f t="shared" ref="P53:P84" si="14">+D$11+D$12*F53+D$13*F53^2</f>
        <v>-5.444266203677172E-3</v>
      </c>
      <c r="Q53" s="11">
        <f t="shared" ref="Q53:Q84" si="15">+C53-15018.5</f>
        <v>39953.014000000003</v>
      </c>
      <c r="R53">
        <f t="shared" ref="R53:R84" si="16">+(P53-G53)^2</f>
        <v>5.4601378839174501E-6</v>
      </c>
      <c r="S53">
        <v>1</v>
      </c>
      <c r="T53">
        <f t="shared" si="10"/>
        <v>5.4601378839174501E-6</v>
      </c>
      <c r="U53" s="108"/>
    </row>
    <row r="54" spans="1:21">
      <c r="A54" s="144" t="s">
        <v>42</v>
      </c>
      <c r="B54" s="145" t="s">
        <v>39</v>
      </c>
      <c r="C54" s="146">
        <v>51314.614999999998</v>
      </c>
      <c r="D54" s="146">
        <v>2E-3</v>
      </c>
      <c r="E54" s="10">
        <f t="shared" si="11"/>
        <v>-9294.4694704865215</v>
      </c>
      <c r="F54">
        <f t="shared" si="12"/>
        <v>-9294.5</v>
      </c>
      <c r="G54" s="9">
        <f t="shared" si="13"/>
        <v>1.0937439998087939E-2</v>
      </c>
      <c r="H54" s="9">
        <f t="shared" si="9"/>
        <v>1.0937439998087939E-2</v>
      </c>
      <c r="O54" s="9">
        <f t="shared" ca="1" si="4"/>
        <v>1.4150695127855229E-2</v>
      </c>
      <c r="P54" s="9">
        <f t="shared" si="14"/>
        <v>6.1773794010123909E-2</v>
      </c>
      <c r="Q54" s="11">
        <f t="shared" si="15"/>
        <v>36296.114999999998</v>
      </c>
      <c r="R54">
        <f t="shared" si="16"/>
        <v>2.5843348892370457E-3</v>
      </c>
      <c r="S54">
        <v>0.4</v>
      </c>
      <c r="T54">
        <f t="shared" si="10"/>
        <v>1.0337339556948184E-3</v>
      </c>
    </row>
    <row r="55" spans="1:21">
      <c r="A55" s="144" t="s">
        <v>42</v>
      </c>
      <c r="B55" s="145" t="s">
        <v>39</v>
      </c>
      <c r="C55" s="146">
        <v>51615.201000000001</v>
      </c>
      <c r="D55" s="146">
        <v>2E-3</v>
      </c>
      <c r="E55" s="10">
        <f t="shared" si="11"/>
        <v>-8455.4482424282469</v>
      </c>
      <c r="F55">
        <f t="shared" si="12"/>
        <v>-8455.5</v>
      </c>
      <c r="G55" s="9">
        <f t="shared" si="13"/>
        <v>1.8542559999332298E-2</v>
      </c>
      <c r="H55" s="9">
        <f t="shared" si="9"/>
        <v>1.8542559999332298E-2</v>
      </c>
      <c r="O55" s="9">
        <f t="shared" ca="1" si="4"/>
        <v>1.205018030056698E-2</v>
      </c>
      <c r="P55" s="9">
        <f t="shared" si="14"/>
        <v>5.7151556368895309E-2</v>
      </c>
      <c r="Q55" s="11">
        <f t="shared" si="15"/>
        <v>36596.701000000001</v>
      </c>
      <c r="R55">
        <f t="shared" si="16"/>
        <v>1.4906546006649298E-3</v>
      </c>
      <c r="S55">
        <v>0.4</v>
      </c>
      <c r="T55">
        <f t="shared" si="10"/>
        <v>5.9626184026597198E-4</v>
      </c>
    </row>
    <row r="56" spans="1:21">
      <c r="A56" s="144" t="s">
        <v>38</v>
      </c>
      <c r="B56" s="145" t="s">
        <v>39</v>
      </c>
      <c r="C56" s="146">
        <v>52034.711000000003</v>
      </c>
      <c r="D56" s="146">
        <v>3.0000000000000001E-3</v>
      </c>
      <c r="E56" s="10">
        <f t="shared" si="11"/>
        <v>-7284.4762231634613</v>
      </c>
      <c r="F56">
        <f t="shared" si="12"/>
        <v>-7284.5</v>
      </c>
      <c r="G56" s="9">
        <f t="shared" si="13"/>
        <v>8.5182399998302571E-3</v>
      </c>
      <c r="H56" s="9">
        <f t="shared" si="9"/>
        <v>8.5182399998302571E-3</v>
      </c>
      <c r="O56" s="9">
        <f t="shared" ca="1" si="4"/>
        <v>9.1184724784519142E-3</v>
      </c>
      <c r="P56" s="9">
        <f t="shared" si="14"/>
        <v>5.0429941019298014E-2</v>
      </c>
      <c r="Q56" s="11">
        <f t="shared" si="15"/>
        <v>37016.211000000003</v>
      </c>
      <c r="R56">
        <f t="shared" si="16"/>
        <v>1.7565906823452547E-3</v>
      </c>
      <c r="S56">
        <v>0.4</v>
      </c>
      <c r="T56">
        <f t="shared" si="10"/>
        <v>7.0263627293810189E-4</v>
      </c>
    </row>
    <row r="57" spans="1:21">
      <c r="A57" s="144" t="s">
        <v>38</v>
      </c>
      <c r="B57" s="145" t="s">
        <v>39</v>
      </c>
      <c r="C57" s="146">
        <v>52475.012000000002</v>
      </c>
      <c r="D57" s="146">
        <v>2E-3</v>
      </c>
      <c r="E57" s="10">
        <f t="shared" si="11"/>
        <v>-6055.4705950394564</v>
      </c>
      <c r="F57">
        <f t="shared" si="12"/>
        <v>-6055.5</v>
      </c>
      <c r="G57" s="9">
        <f t="shared" si="13"/>
        <v>1.0534560002270155E-2</v>
      </c>
      <c r="H57" s="9">
        <f t="shared" si="9"/>
        <v>1.0534560002270155E-2</v>
      </c>
      <c r="O57" s="9">
        <f t="shared" ca="1" si="4"/>
        <v>6.0415562415779452E-3</v>
      </c>
      <c r="P57" s="9">
        <f t="shared" si="14"/>
        <v>4.3036650078126695E-2</v>
      </c>
      <c r="Q57" s="11">
        <f t="shared" si="15"/>
        <v>37456.512000000002</v>
      </c>
      <c r="R57">
        <f t="shared" si="16"/>
        <v>1.0563858592990921E-3</v>
      </c>
      <c r="S57">
        <v>0.4</v>
      </c>
      <c r="T57">
        <f t="shared" si="10"/>
        <v>4.2255434371963685E-4</v>
      </c>
    </row>
    <row r="58" spans="1:21">
      <c r="A58" s="144" t="s">
        <v>38</v>
      </c>
      <c r="B58" s="145" t="s">
        <v>39</v>
      </c>
      <c r="C58" s="146">
        <v>52773.798999999999</v>
      </c>
      <c r="D58" s="146">
        <v>2E-3</v>
      </c>
      <c r="E58" s="10">
        <f t="shared" si="11"/>
        <v>-5221.470888905963</v>
      </c>
      <c r="F58">
        <f t="shared" si="12"/>
        <v>-5221.5</v>
      </c>
      <c r="G58" s="9">
        <f t="shared" si="13"/>
        <v>1.0429279995150864E-2</v>
      </c>
      <c r="H58" s="9">
        <f t="shared" si="9"/>
        <v>1.0429279995150864E-2</v>
      </c>
      <c r="O58" s="9">
        <f t="shared" ca="1" si="4"/>
        <v>3.9535593810792555E-3</v>
      </c>
      <c r="P58" s="9">
        <f t="shared" si="14"/>
        <v>3.7821960645773159E-2</v>
      </c>
      <c r="Q58" s="11">
        <f t="shared" si="15"/>
        <v>37755.298999999999</v>
      </c>
      <c r="R58">
        <f t="shared" si="16"/>
        <v>7.5035895322697708E-4</v>
      </c>
      <c r="S58">
        <v>0.4</v>
      </c>
      <c r="T58">
        <f t="shared" si="10"/>
        <v>3.0014358129079084E-4</v>
      </c>
    </row>
    <row r="59" spans="1:21">
      <c r="A59" s="144" t="s">
        <v>38</v>
      </c>
      <c r="B59" s="145" t="s">
        <v>39</v>
      </c>
      <c r="C59" s="146">
        <v>53132.762999999999</v>
      </c>
      <c r="D59" s="146">
        <v>3.0000000000000001E-3</v>
      </c>
      <c r="E59" s="10">
        <f t="shared" si="11"/>
        <v>-4219.5000183108341</v>
      </c>
      <c r="F59">
        <f t="shared" si="12"/>
        <v>-4219.5</v>
      </c>
      <c r="G59" s="9">
        <f t="shared" si="13"/>
        <v>-6.5600033849477768E-6</v>
      </c>
      <c r="H59" s="9">
        <f t="shared" si="9"/>
        <v>-6.5600033849477768E-6</v>
      </c>
      <c r="O59" s="9">
        <f t="shared" ca="1" si="4"/>
        <v>1.4449588364513332E-3</v>
      </c>
      <c r="P59" s="9">
        <f t="shared" si="14"/>
        <v>3.134554989771926E-2</v>
      </c>
      <c r="Q59" s="11">
        <f t="shared" si="15"/>
        <v>38114.262999999999</v>
      </c>
      <c r="R59">
        <f t="shared" si="16"/>
        <v>9.8295479525091663E-4</v>
      </c>
      <c r="S59">
        <v>0.4</v>
      </c>
      <c r="T59">
        <f t="shared" si="10"/>
        <v>3.9318191810036666E-4</v>
      </c>
    </row>
    <row r="60" spans="1:21" ht="13.5" thickBot="1">
      <c r="A60" s="170" t="s">
        <v>38</v>
      </c>
      <c r="B60" s="171" t="s">
        <v>39</v>
      </c>
      <c r="C60" s="81">
        <v>53521.474999999999</v>
      </c>
      <c r="D60" s="172">
        <v>2E-3</v>
      </c>
      <c r="E60" s="82">
        <f t="shared" si="11"/>
        <v>-3134.4939980670961</v>
      </c>
      <c r="F60" s="133">
        <f t="shared" si="12"/>
        <v>-3134.5</v>
      </c>
      <c r="G60" s="9">
        <f t="shared" si="13"/>
        <v>2.1502399977180175E-3</v>
      </c>
      <c r="H60" s="9">
        <f t="shared" si="9"/>
        <v>2.1502399977180175E-3</v>
      </c>
      <c r="O60" s="9">
        <f t="shared" ca="1" si="4"/>
        <v>-1.2714399568832923E-3</v>
      </c>
      <c r="P60" s="9">
        <f t="shared" si="14"/>
        <v>2.4072611677177582E-2</v>
      </c>
      <c r="Q60" s="11">
        <f t="shared" si="15"/>
        <v>38502.974999999999</v>
      </c>
      <c r="R60">
        <f t="shared" si="16"/>
        <v>4.8059038005237079E-4</v>
      </c>
      <c r="S60">
        <v>0.4</v>
      </c>
      <c r="T60">
        <f t="shared" si="10"/>
        <v>1.9223615202094833E-4</v>
      </c>
    </row>
    <row r="61" spans="1:21">
      <c r="A61" s="161" t="s">
        <v>42</v>
      </c>
      <c r="B61" s="145" t="s">
        <v>39</v>
      </c>
      <c r="C61" s="173">
        <v>51338.803819784996</v>
      </c>
      <c r="D61" s="173"/>
      <c r="E61" s="10">
        <f t="shared" si="11"/>
        <v>-9226.9515778325404</v>
      </c>
      <c r="F61">
        <f t="shared" si="12"/>
        <v>-9227</v>
      </c>
      <c r="G61" s="9">
        <f t="shared" si="13"/>
        <v>1.7347624998365063E-2</v>
      </c>
      <c r="J61" s="9">
        <f t="shared" ref="J61:J73" si="17">+G61</f>
        <v>1.7347624998365063E-2</v>
      </c>
      <c r="O61" s="9">
        <f t="shared" ca="1" si="4"/>
        <v>1.3981702576196164E-2</v>
      </c>
      <c r="P61" s="9">
        <f t="shared" si="14"/>
        <v>6.1407902280338461E-2</v>
      </c>
      <c r="Q61" s="11">
        <f t="shared" si="15"/>
        <v>36320.303819784996</v>
      </c>
      <c r="R61">
        <f t="shared" si="16"/>
        <v>1.9413080341643811E-3</v>
      </c>
      <c r="S61">
        <v>0.1</v>
      </c>
      <c r="T61">
        <f t="shared" si="10"/>
        <v>1.9413080341643813E-4</v>
      </c>
    </row>
    <row r="62" spans="1:21">
      <c r="A62" s="108" t="s">
        <v>142</v>
      </c>
      <c r="B62" s="4"/>
      <c r="C62" s="14">
        <v>28731.308000000001</v>
      </c>
      <c r="D62" s="14"/>
      <c r="E62" s="10">
        <f t="shared" si="11"/>
        <v>-72330.918183190472</v>
      </c>
      <c r="F62">
        <f t="shared" si="12"/>
        <v>-72331</v>
      </c>
      <c r="G62" s="9">
        <f t="shared" si="13"/>
        <v>2.9311520000192104E-2</v>
      </c>
      <c r="J62" s="9">
        <f t="shared" si="17"/>
        <v>2.9311520000192104E-2</v>
      </c>
      <c r="P62" s="9">
        <f t="shared" si="14"/>
        <v>-5.3373004174400607E-2</v>
      </c>
      <c r="Q62" s="11">
        <f t="shared" si="15"/>
        <v>13712.808000000001</v>
      </c>
      <c r="R62">
        <f t="shared" si="16"/>
        <v>6.8367305379788065E-3</v>
      </c>
      <c r="S62">
        <v>0.1</v>
      </c>
      <c r="T62">
        <f t="shared" si="10"/>
        <v>6.8367305379788074E-4</v>
      </c>
    </row>
    <row r="63" spans="1:21">
      <c r="A63" s="108" t="s">
        <v>142</v>
      </c>
      <c r="B63" s="4"/>
      <c r="C63" s="14">
        <v>28731.477999999999</v>
      </c>
      <c r="D63" s="14"/>
      <c r="E63" s="10">
        <f t="shared" si="11"/>
        <v>-72330.44366472066</v>
      </c>
      <c r="F63">
        <f t="shared" si="12"/>
        <v>-72330.5</v>
      </c>
      <c r="G63" s="9">
        <f t="shared" si="13"/>
        <v>2.018255999792018E-2</v>
      </c>
      <c r="J63" s="9">
        <f t="shared" si="17"/>
        <v>2.018255999792018E-2</v>
      </c>
      <c r="P63" s="9">
        <f t="shared" si="14"/>
        <v>-5.3368471101431947E-2</v>
      </c>
      <c r="Q63" s="11">
        <f t="shared" si="15"/>
        <v>13712.977999999999</v>
      </c>
      <c r="R63">
        <f t="shared" si="16"/>
        <v>5.4097541757778637E-3</v>
      </c>
      <c r="S63">
        <v>0.1</v>
      </c>
      <c r="T63">
        <f t="shared" si="10"/>
        <v>5.4097541757778644E-4</v>
      </c>
    </row>
    <row r="64" spans="1:21">
      <c r="A64" s="108" t="s">
        <v>142</v>
      </c>
      <c r="B64" s="4"/>
      <c r="C64" s="14">
        <v>29046.215</v>
      </c>
      <c r="D64" s="14"/>
      <c r="E64" s="10">
        <f t="shared" si="11"/>
        <v>-71451.92296097739</v>
      </c>
      <c r="F64">
        <f t="shared" si="12"/>
        <v>-71452</v>
      </c>
      <c r="G64" s="9">
        <f t="shared" si="13"/>
        <v>2.7599839999311371E-2</v>
      </c>
      <c r="J64" s="9">
        <f t="shared" si="17"/>
        <v>2.7599839999311371E-2</v>
      </c>
      <c r="P64" s="9">
        <f t="shared" si="14"/>
        <v>-4.5492546698252756E-2</v>
      </c>
      <c r="Q64" s="11">
        <f t="shared" si="15"/>
        <v>14027.715</v>
      </c>
      <c r="R64">
        <f t="shared" si="16"/>
        <v>5.3424969931462497E-3</v>
      </c>
      <c r="S64">
        <v>0.1</v>
      </c>
      <c r="T64">
        <f t="shared" si="10"/>
        <v>5.3424969931462497E-4</v>
      </c>
    </row>
    <row r="65" spans="1:23">
      <c r="A65" s="108" t="s">
        <v>142</v>
      </c>
      <c r="B65" s="4"/>
      <c r="C65" s="14">
        <v>29046.404999999999</v>
      </c>
      <c r="D65" s="14"/>
      <c r="E65" s="10">
        <f t="shared" si="11"/>
        <v>-71451.392616805242</v>
      </c>
      <c r="F65">
        <f t="shared" si="12"/>
        <v>-71451.5</v>
      </c>
      <c r="G65" s="9">
        <f t="shared" si="13"/>
        <v>3.8470879997476004E-2</v>
      </c>
      <c r="J65" s="9">
        <f t="shared" si="17"/>
        <v>3.8470879997476004E-2</v>
      </c>
      <c r="P65" s="9">
        <f t="shared" si="14"/>
        <v>-4.5488114575543248E-2</v>
      </c>
      <c r="Q65" s="11">
        <f t="shared" si="15"/>
        <v>14027.904999999999</v>
      </c>
      <c r="R65">
        <f t="shared" si="16"/>
        <v>7.0491127697122763E-3</v>
      </c>
      <c r="S65">
        <v>0.1</v>
      </c>
      <c r="T65">
        <f t="shared" si="10"/>
        <v>7.0491127697122765E-4</v>
      </c>
    </row>
    <row r="66" spans="1:23">
      <c r="A66" s="108" t="s">
        <v>31</v>
      </c>
      <c r="B66" s="4"/>
      <c r="C66" s="14">
        <v>29369.184000000001</v>
      </c>
      <c r="D66" s="14"/>
      <c r="E66" s="10">
        <f t="shared" si="11"/>
        <v>-70550.424398154268</v>
      </c>
      <c r="F66">
        <f t="shared" si="12"/>
        <v>-70550.5</v>
      </c>
      <c r="G66" s="9">
        <f t="shared" si="13"/>
        <v>2.708496000195737E-2</v>
      </c>
      <c r="J66" s="9">
        <f t="shared" si="17"/>
        <v>2.708496000195737E-2</v>
      </c>
      <c r="P66" s="9">
        <f t="shared" si="14"/>
        <v>-3.7594713866609508E-2</v>
      </c>
      <c r="Q66" s="11">
        <f t="shared" si="15"/>
        <v>14350.684000000001</v>
      </c>
      <c r="R66">
        <f t="shared" si="16"/>
        <v>4.1834602117441734E-3</v>
      </c>
      <c r="S66">
        <v>0.1</v>
      </c>
      <c r="T66">
        <f t="shared" si="10"/>
        <v>4.1834602117441736E-4</v>
      </c>
    </row>
    <row r="67" spans="1:23">
      <c r="A67" s="108" t="s">
        <v>142</v>
      </c>
      <c r="B67" s="4"/>
      <c r="C67" s="14">
        <v>30493.286</v>
      </c>
      <c r="D67" s="14"/>
      <c r="E67" s="10">
        <f t="shared" si="11"/>
        <v>-67412.735216014204</v>
      </c>
      <c r="F67">
        <f t="shared" si="12"/>
        <v>-67412.5</v>
      </c>
      <c r="G67" s="9">
        <f t="shared" si="13"/>
        <v>-8.4267999998701271E-2</v>
      </c>
      <c r="J67" s="9">
        <f t="shared" si="17"/>
        <v>-8.4267999998701271E-2</v>
      </c>
      <c r="P67" s="9">
        <f t="shared" si="14"/>
        <v>-1.1559213497273624E-2</v>
      </c>
      <c r="Q67" s="11">
        <f t="shared" si="15"/>
        <v>15474.786</v>
      </c>
      <c r="R67">
        <f t="shared" si="16"/>
        <v>5.2865676345101873E-3</v>
      </c>
      <c r="S67">
        <v>0.1</v>
      </c>
      <c r="T67">
        <f t="shared" si="10"/>
        <v>5.2865676345101873E-4</v>
      </c>
    </row>
    <row r="68" spans="1:23">
      <c r="A68" s="108" t="s">
        <v>142</v>
      </c>
      <c r="B68" s="4"/>
      <c r="C68" s="14">
        <v>30493.473000000002</v>
      </c>
      <c r="D68" s="14"/>
      <c r="E68" s="10">
        <f t="shared" si="11"/>
        <v>-67412.213245697392</v>
      </c>
      <c r="F68">
        <f t="shared" si="12"/>
        <v>-67412</v>
      </c>
      <c r="G68" s="9">
        <f t="shared" si="13"/>
        <v>-7.6396959997509839E-2</v>
      </c>
      <c r="J68" s="9">
        <f t="shared" si="17"/>
        <v>-7.6396959997509839E-2</v>
      </c>
      <c r="P68" s="9">
        <f t="shared" si="14"/>
        <v>-1.1555245297854233E-2</v>
      </c>
      <c r="Q68" s="11">
        <f t="shared" si="15"/>
        <v>15474.973000000002</v>
      </c>
      <c r="R68">
        <f t="shared" si="16"/>
        <v>4.2044479651915335E-3</v>
      </c>
      <c r="S68">
        <v>0.1</v>
      </c>
      <c r="T68">
        <f t="shared" si="10"/>
        <v>4.2044479651915338E-4</v>
      </c>
    </row>
    <row r="69" spans="1:23">
      <c r="A69" s="108" t="s">
        <v>144</v>
      </c>
      <c r="B69" s="4"/>
      <c r="C69" s="14">
        <v>30899.22</v>
      </c>
      <c r="D69" s="14"/>
      <c r="E69" s="10">
        <f t="shared" si="11"/>
        <v>-66279.657683492376</v>
      </c>
      <c r="F69">
        <f t="shared" si="12"/>
        <v>-66279.5</v>
      </c>
      <c r="G69" s="9">
        <f t="shared" si="13"/>
        <v>-5.6491359999199631E-2</v>
      </c>
      <c r="J69" s="9">
        <f t="shared" si="17"/>
        <v>-5.6491359999199631E-2</v>
      </c>
      <c r="P69" s="9">
        <f t="shared" si="14"/>
        <v>-2.7146360122265456E-3</v>
      </c>
      <c r="Q69" s="11">
        <f t="shared" si="15"/>
        <v>15880.720000000001</v>
      </c>
      <c r="R69">
        <f t="shared" si="16"/>
        <v>2.8919360427710865E-3</v>
      </c>
      <c r="S69">
        <v>0.1</v>
      </c>
      <c r="T69">
        <f t="shared" si="10"/>
        <v>2.8919360427710864E-4</v>
      </c>
    </row>
    <row r="70" spans="1:23">
      <c r="A70" s="108" t="s">
        <v>144</v>
      </c>
      <c r="B70" s="4"/>
      <c r="C70" s="14">
        <v>30899.399000000001</v>
      </c>
      <c r="D70" s="14"/>
      <c r="E70" s="10">
        <f t="shared" si="11"/>
        <v>-66279.158043456511</v>
      </c>
      <c r="F70">
        <f t="shared" si="12"/>
        <v>-66279</v>
      </c>
      <c r="G70" s="9">
        <f t="shared" si="13"/>
        <v>-5.6620319999638014E-2</v>
      </c>
      <c r="J70" s="9">
        <f t="shared" si="17"/>
        <v>-5.6620319999638014E-2</v>
      </c>
      <c r="P70" s="9">
        <f t="shared" si="14"/>
        <v>-2.7107979341309818E-3</v>
      </c>
      <c r="Q70" s="11">
        <f t="shared" si="15"/>
        <v>15880.899000000001</v>
      </c>
      <c r="R70">
        <f t="shared" si="16"/>
        <v>2.9062365693313897E-3</v>
      </c>
      <c r="S70">
        <v>0.1</v>
      </c>
      <c r="T70">
        <f t="shared" si="10"/>
        <v>2.9062365693313896E-4</v>
      </c>
    </row>
    <row r="71" spans="1:23">
      <c r="A71" s="108" t="s">
        <v>144</v>
      </c>
      <c r="B71" s="4"/>
      <c r="C71" s="14">
        <v>31256.240000000002</v>
      </c>
      <c r="D71" s="14"/>
      <c r="E71" s="10">
        <f t="shared" si="11"/>
        <v>-65283.11307116392</v>
      </c>
      <c r="F71">
        <f t="shared" si="12"/>
        <v>-65283</v>
      </c>
      <c r="G71" s="9">
        <f t="shared" si="13"/>
        <v>-4.0508639998733997E-2</v>
      </c>
      <c r="J71" s="9">
        <f t="shared" si="17"/>
        <v>-4.0508639998733997E-2</v>
      </c>
      <c r="P71" s="9">
        <f t="shared" si="14"/>
        <v>4.8206666634051931E-3</v>
      </c>
      <c r="Q71" s="11">
        <f t="shared" si="15"/>
        <v>16237.740000000002</v>
      </c>
      <c r="R71">
        <f t="shared" si="16"/>
        <v>2.0547460424702566E-3</v>
      </c>
      <c r="S71">
        <v>0.1</v>
      </c>
      <c r="T71">
        <f t="shared" si="10"/>
        <v>2.0547460424702566E-4</v>
      </c>
    </row>
    <row r="72" spans="1:23">
      <c r="A72" s="108" t="s">
        <v>144</v>
      </c>
      <c r="B72" s="4"/>
      <c r="C72" s="14">
        <v>31256.425999999999</v>
      </c>
      <c r="D72" s="14"/>
      <c r="E72" s="10">
        <f t="shared" si="11"/>
        <v>-65282.593892132238</v>
      </c>
      <c r="F72">
        <f t="shared" si="12"/>
        <v>-65282.5</v>
      </c>
      <c r="G72" s="9">
        <f t="shared" si="13"/>
        <v>-3.3637600001384271E-2</v>
      </c>
      <c r="J72" s="9">
        <f t="shared" si="17"/>
        <v>-3.3637600001384271E-2</v>
      </c>
      <c r="P72" s="9">
        <f t="shared" si="14"/>
        <v>4.8243902967529118E-3</v>
      </c>
      <c r="Q72" s="11">
        <f t="shared" si="15"/>
        <v>16237.925999999999</v>
      </c>
      <c r="R72">
        <f t="shared" si="16"/>
        <v>1.4793246976939989E-3</v>
      </c>
      <c r="S72">
        <v>0.1</v>
      </c>
      <c r="T72">
        <f t="shared" si="10"/>
        <v>1.479324697693999E-4</v>
      </c>
    </row>
    <row r="73" spans="1:23">
      <c r="A73" s="108" t="s">
        <v>32</v>
      </c>
      <c r="B73" s="4"/>
      <c r="C73" s="14">
        <v>32337.678</v>
      </c>
      <c r="D73" s="14"/>
      <c r="E73" s="10">
        <f t="shared" si="11"/>
        <v>-62264.511277238475</v>
      </c>
      <c r="F73">
        <f t="shared" si="12"/>
        <v>-62264.5</v>
      </c>
      <c r="G73" s="9">
        <f t="shared" si="13"/>
        <v>-4.040160001750337E-3</v>
      </c>
      <c r="J73" s="9">
        <f t="shared" si="17"/>
        <v>-4.040160001750337E-3</v>
      </c>
      <c r="P73" s="9">
        <f t="shared" si="14"/>
        <v>2.6254006823907661E-2</v>
      </c>
      <c r="Q73" s="11">
        <f t="shared" si="15"/>
        <v>17319.178</v>
      </c>
      <c r="R73">
        <f t="shared" si="16"/>
        <v>9.1773654366079753E-4</v>
      </c>
      <c r="S73">
        <v>0.1</v>
      </c>
      <c r="T73">
        <f t="shared" si="10"/>
        <v>9.1773654366079758E-5</v>
      </c>
    </row>
    <row r="74" spans="1:23">
      <c r="A74" s="127" t="s">
        <v>156</v>
      </c>
      <c r="B74" s="128"/>
      <c r="C74" s="129">
        <v>48085.46</v>
      </c>
      <c r="D74" s="129" t="s">
        <v>181</v>
      </c>
      <c r="E74" s="10">
        <f t="shared" si="11"/>
        <v>-18307.96176118033</v>
      </c>
      <c r="F74">
        <f t="shared" si="12"/>
        <v>-18308</v>
      </c>
      <c r="G74" s="9">
        <f t="shared" si="13"/>
        <v>1.3699359995371196E-2</v>
      </c>
      <c r="I74" s="9">
        <f t="shared" ref="I74:I90" si="18">+G74</f>
        <v>1.3699359995371196E-2</v>
      </c>
      <c r="O74" s="9">
        <f t="shared" ref="O74:O90" ca="1" si="19">+C$11+C$12*F74</f>
        <v>3.6716833859395927E-2</v>
      </c>
      <c r="P74" s="9">
        <f t="shared" si="14"/>
        <v>0.10123215000393626</v>
      </c>
      <c r="Q74" s="11">
        <f t="shared" si="15"/>
        <v>33066.959999999999</v>
      </c>
      <c r="R74">
        <f t="shared" si="16"/>
        <v>7.6619893266835484E-3</v>
      </c>
      <c r="S74">
        <v>0.1</v>
      </c>
      <c r="T74">
        <f t="shared" si="10"/>
        <v>7.6619893266835493E-4</v>
      </c>
    </row>
    <row r="75" spans="1:23">
      <c r="A75" s="127" t="s">
        <v>156</v>
      </c>
      <c r="B75" s="128"/>
      <c r="C75" s="129">
        <v>48094.417999999998</v>
      </c>
      <c r="D75" s="129" t="s">
        <v>181</v>
      </c>
      <c r="E75" s="10">
        <f t="shared" si="11"/>
        <v>-18282.957429105831</v>
      </c>
      <c r="F75">
        <f t="shared" si="12"/>
        <v>-18283</v>
      </c>
      <c r="G75" s="9">
        <f t="shared" si="13"/>
        <v>1.5251359996909741E-2</v>
      </c>
      <c r="I75" s="9">
        <f t="shared" si="18"/>
        <v>1.5251359996909741E-2</v>
      </c>
      <c r="O75" s="9">
        <f t="shared" ca="1" si="19"/>
        <v>3.6654244025448125E-2</v>
      </c>
      <c r="P75" s="9">
        <f t="shared" si="14"/>
        <v>0.10114851511468068</v>
      </c>
      <c r="Q75" s="11">
        <f t="shared" si="15"/>
        <v>33075.917999999998</v>
      </c>
      <c r="R75">
        <f t="shared" si="16"/>
        <v>7.3783212573264017E-3</v>
      </c>
      <c r="S75">
        <v>0.1</v>
      </c>
      <c r="T75">
        <f t="shared" si="10"/>
        <v>7.3783212573264023E-4</v>
      </c>
    </row>
    <row r="76" spans="1:23">
      <c r="A76" s="127" t="s">
        <v>156</v>
      </c>
      <c r="B76" s="128"/>
      <c r="C76" s="129">
        <v>48122.360999999997</v>
      </c>
      <c r="D76" s="129" t="s">
        <v>181</v>
      </c>
      <c r="E76" s="176">
        <f t="shared" si="11"/>
        <v>-18204.960549092684</v>
      </c>
      <c r="F76" s="177">
        <f t="shared" si="12"/>
        <v>-18205</v>
      </c>
      <c r="G76" s="178">
        <f t="shared" si="13"/>
        <v>1.4133599994238466E-2</v>
      </c>
      <c r="I76" s="9">
        <f t="shared" si="18"/>
        <v>1.4133599994238466E-2</v>
      </c>
      <c r="O76" s="9">
        <f t="shared" ca="1" si="19"/>
        <v>3.6458963743530977E-2</v>
      </c>
      <c r="P76" s="9">
        <f t="shared" si="14"/>
        <v>0.10088665158172505</v>
      </c>
      <c r="Q76" s="11">
        <f t="shared" si="15"/>
        <v>33103.860999999997</v>
      </c>
      <c r="R76">
        <f t="shared" si="16"/>
        <v>7.526091959741109E-3</v>
      </c>
      <c r="S76">
        <v>0.1</v>
      </c>
      <c r="T76">
        <f t="shared" si="10"/>
        <v>7.5260919597411097E-4</v>
      </c>
    </row>
    <row r="77" spans="1:23">
      <c r="A77" s="130" t="s">
        <v>129</v>
      </c>
      <c r="B77" s="131"/>
      <c r="C77" s="152">
        <v>48336.621099999997</v>
      </c>
      <c r="D77" s="147"/>
      <c r="E77" s="176">
        <f t="shared" si="11"/>
        <v>-17606.899520881503</v>
      </c>
      <c r="F77" s="177">
        <f t="shared" si="12"/>
        <v>-17607</v>
      </c>
      <c r="G77" s="178">
        <f t="shared" si="13"/>
        <v>3.5997439998027403E-2</v>
      </c>
      <c r="I77" s="9">
        <f t="shared" si="18"/>
        <v>3.5997439998027403E-2</v>
      </c>
      <c r="O77" s="9">
        <f t="shared" ca="1" si="19"/>
        <v>3.4961814915499545E-2</v>
      </c>
      <c r="P77" s="9">
        <f t="shared" si="14"/>
        <v>9.8832604609071784E-2</v>
      </c>
      <c r="Q77" s="11">
        <f t="shared" si="15"/>
        <v>33318.121099999997</v>
      </c>
      <c r="R77">
        <f t="shared" si="16"/>
        <v>3.9482579116970444E-3</v>
      </c>
      <c r="S77">
        <v>1</v>
      </c>
      <c r="T77">
        <f t="shared" si="10"/>
        <v>3.9482579116970444E-3</v>
      </c>
    </row>
    <row r="78" spans="1:23">
      <c r="A78" s="153" t="s">
        <v>130</v>
      </c>
      <c r="B78" s="131"/>
      <c r="C78" s="152">
        <v>51091.429700000001</v>
      </c>
      <c r="D78" s="132"/>
      <c r="E78" s="176">
        <f t="shared" si="11"/>
        <v>-9917.4432766203736</v>
      </c>
      <c r="F78" s="177">
        <f t="shared" si="12"/>
        <v>-9917.5</v>
      </c>
      <c r="G78" s="178">
        <f t="shared" si="13"/>
        <v>2.0321600000897888E-2</v>
      </c>
      <c r="I78" s="9">
        <f t="shared" si="18"/>
        <v>2.0321600000897888E-2</v>
      </c>
      <c r="O78" s="9">
        <f t="shared" ca="1" si="19"/>
        <v>1.5710433789834465E-2</v>
      </c>
      <c r="P78" s="9">
        <f t="shared" si="14"/>
        <v>6.5101434230075236E-2</v>
      </c>
      <c r="Q78" s="11">
        <f t="shared" si="15"/>
        <v>36072.929700000001</v>
      </c>
      <c r="R78">
        <f t="shared" si="16"/>
        <v>2.0052335535926031E-3</v>
      </c>
      <c r="S78">
        <v>1</v>
      </c>
      <c r="T78">
        <f t="shared" si="10"/>
        <v>2.0052335535926031E-3</v>
      </c>
    </row>
    <row r="79" spans="1:23">
      <c r="A79" s="144" t="s">
        <v>157</v>
      </c>
      <c r="B79" s="145"/>
      <c r="C79" s="147">
        <v>53189.010199999997</v>
      </c>
      <c r="D79" s="147"/>
      <c r="E79" s="176">
        <f t="shared" si="11"/>
        <v>-4062.4980461004279</v>
      </c>
      <c r="F79" s="177">
        <f t="shared" si="12"/>
        <v>-4062.5</v>
      </c>
      <c r="G79" s="178">
        <f t="shared" si="13"/>
        <v>6.9999999686842784E-4</v>
      </c>
      <c r="I79" s="9">
        <f t="shared" si="18"/>
        <v>6.9999999686842784E-4</v>
      </c>
      <c r="O79" s="9">
        <f t="shared" ca="1" si="19"/>
        <v>1.0518946792591344E-3</v>
      </c>
      <c r="P79" s="9">
        <f t="shared" si="14"/>
        <v>3.0309885092063824E-2</v>
      </c>
      <c r="Q79" s="11">
        <f t="shared" si="15"/>
        <v>38170.510199999997</v>
      </c>
      <c r="R79">
        <f t="shared" si="16"/>
        <v>8.7674529535067443E-4</v>
      </c>
    </row>
    <row r="80" spans="1:23">
      <c r="A80" s="144" t="s">
        <v>157</v>
      </c>
      <c r="B80" s="145"/>
      <c r="C80" s="147">
        <v>53190.977599999998</v>
      </c>
      <c r="D80" s="147"/>
      <c r="E80" s="176">
        <f t="shared" si="11"/>
        <v>-4057.0064717620257</v>
      </c>
      <c r="F80" s="177">
        <f t="shared" si="12"/>
        <v>-4057</v>
      </c>
      <c r="G80" s="178">
        <f t="shared" si="13"/>
        <v>-2.318560000276193E-3</v>
      </c>
      <c r="I80" s="9">
        <f t="shared" si="18"/>
        <v>-2.318560000276193E-3</v>
      </c>
      <c r="O80" s="9">
        <f t="shared" ca="1" si="19"/>
        <v>1.0381249157906166E-3</v>
      </c>
      <c r="P80" s="9">
        <f t="shared" si="14"/>
        <v>3.0273501196662115E-2</v>
      </c>
      <c r="Q80" s="11">
        <f t="shared" si="15"/>
        <v>38172.477599999998</v>
      </c>
      <c r="R80">
        <f t="shared" si="16"/>
        <v>1.0622424530649715E-3</v>
      </c>
      <c r="S80">
        <v>1</v>
      </c>
      <c r="T80">
        <f t="shared" ref="T80:T90" si="20">S80*R80</f>
        <v>1.0622424530649715E-3</v>
      </c>
      <c r="W80" t="s">
        <v>158</v>
      </c>
    </row>
    <row r="81" spans="1:29">
      <c r="A81" s="144" t="s">
        <v>38</v>
      </c>
      <c r="B81" s="145" t="s">
        <v>39</v>
      </c>
      <c r="C81" s="146">
        <v>53521.474999999999</v>
      </c>
      <c r="D81" s="146">
        <v>2E-3</v>
      </c>
      <c r="E81" s="10">
        <f t="shared" si="11"/>
        <v>-3134.4939980670961</v>
      </c>
      <c r="F81">
        <f t="shared" si="12"/>
        <v>-3134.5</v>
      </c>
      <c r="G81" s="9">
        <f t="shared" si="13"/>
        <v>2.1502399977180175E-3</v>
      </c>
      <c r="I81" s="9">
        <f t="shared" si="18"/>
        <v>2.1502399977180175E-3</v>
      </c>
      <c r="O81" s="9">
        <f t="shared" ca="1" si="19"/>
        <v>-1.2714399568832923E-3</v>
      </c>
      <c r="P81" s="9">
        <f t="shared" si="14"/>
        <v>2.4072611677177582E-2</v>
      </c>
      <c r="Q81" s="11">
        <f t="shared" si="15"/>
        <v>38502.974999999999</v>
      </c>
      <c r="R81">
        <f t="shared" si="16"/>
        <v>4.8059038005237079E-4</v>
      </c>
      <c r="S81">
        <v>0.4</v>
      </c>
      <c r="T81">
        <f t="shared" si="20"/>
        <v>1.9223615202094833E-4</v>
      </c>
    </row>
    <row r="82" spans="1:29">
      <c r="A82" s="28" t="s">
        <v>182</v>
      </c>
      <c r="B82" s="74" t="s">
        <v>39</v>
      </c>
      <c r="C82" s="75">
        <v>54667.352200000001</v>
      </c>
      <c r="D82" s="75">
        <v>1E-4</v>
      </c>
      <c r="E82" s="10">
        <f t="shared" si="11"/>
        <v>63.975975743957818</v>
      </c>
      <c r="F82">
        <f t="shared" ref="F82:F90" si="21">ROUND(2*E82,0)/2</f>
        <v>64</v>
      </c>
      <c r="G82" s="9">
        <f t="shared" si="13"/>
        <v>-8.6068800010252744E-3</v>
      </c>
      <c r="I82" s="9">
        <f t="shared" si="18"/>
        <v>-8.6068800010252744E-3</v>
      </c>
      <c r="O82" s="9">
        <f t="shared" ca="1" si="19"/>
        <v>-9.2791833121651374E-3</v>
      </c>
      <c r="P82" s="9">
        <f t="shared" si="14"/>
        <v>1.0590371350006631E-3</v>
      </c>
      <c r="Q82" s="11">
        <f t="shared" si="15"/>
        <v>39648.852200000001</v>
      </c>
      <c r="R82">
        <f t="shared" si="16"/>
        <v>9.3429954080519846E-5</v>
      </c>
      <c r="S82">
        <v>1</v>
      </c>
      <c r="T82">
        <f t="shared" si="20"/>
        <v>9.3429954080519846E-5</v>
      </c>
    </row>
    <row r="83" spans="1:29">
      <c r="A83" s="123" t="s">
        <v>125</v>
      </c>
      <c r="B83" s="124" t="s">
        <v>41</v>
      </c>
      <c r="C83" s="123">
        <v>54667.3531</v>
      </c>
      <c r="D83" s="123">
        <v>6.9999999999999999E-4</v>
      </c>
      <c r="E83" s="10">
        <f t="shared" si="11"/>
        <v>63.978487900560218</v>
      </c>
      <c r="F83">
        <f t="shared" si="21"/>
        <v>64</v>
      </c>
      <c r="G83" s="9">
        <f t="shared" si="13"/>
        <v>-7.7068800019333139E-3</v>
      </c>
      <c r="I83" s="9">
        <f t="shared" si="18"/>
        <v>-7.7068800019333139E-3</v>
      </c>
      <c r="O83" s="9">
        <f t="shared" ca="1" si="19"/>
        <v>-9.2791833121651374E-3</v>
      </c>
      <c r="P83" s="9">
        <f t="shared" si="14"/>
        <v>1.0590371350006631E-3</v>
      </c>
      <c r="Q83" s="11">
        <f t="shared" si="15"/>
        <v>39648.8531</v>
      </c>
      <c r="R83">
        <f t="shared" si="16"/>
        <v>7.684130325159276E-5</v>
      </c>
      <c r="S83">
        <v>1</v>
      </c>
      <c r="T83">
        <f t="shared" si="20"/>
        <v>7.684130325159276E-5</v>
      </c>
    </row>
    <row r="84" spans="1:29">
      <c r="A84" s="123" t="s">
        <v>180</v>
      </c>
      <c r="B84" s="124" t="s">
        <v>41</v>
      </c>
      <c r="C84" s="123">
        <v>55652.909099999997</v>
      </c>
      <c r="D84" s="123">
        <v>5.9999999999999995E-4</v>
      </c>
      <c r="E84" s="10">
        <f t="shared" si="11"/>
        <v>2814.9462822761789</v>
      </c>
      <c r="F84">
        <f t="shared" si="21"/>
        <v>2815</v>
      </c>
      <c r="G84" s="9">
        <f t="shared" si="13"/>
        <v>-1.9244800001615658E-2</v>
      </c>
      <c r="I84" s="9">
        <f t="shared" si="18"/>
        <v>-1.9244800001615658E-2</v>
      </c>
      <c r="O84" s="9">
        <f t="shared" ca="1" si="19"/>
        <v>-1.6166568639781317E-2</v>
      </c>
      <c r="P84" s="9">
        <f t="shared" si="14"/>
        <v>-2.0614428233557306E-2</v>
      </c>
      <c r="Q84" s="11">
        <f t="shared" si="15"/>
        <v>40634.409099999997</v>
      </c>
      <c r="R84">
        <f t="shared" si="16"/>
        <v>1.8758814937316037E-6</v>
      </c>
      <c r="S84">
        <v>1</v>
      </c>
      <c r="T84">
        <f t="shared" si="20"/>
        <v>1.8758814937316037E-6</v>
      </c>
      <c r="U84" s="108"/>
    </row>
    <row r="85" spans="1:29">
      <c r="A85" s="75" t="s">
        <v>185</v>
      </c>
      <c r="B85" s="74" t="s">
        <v>41</v>
      </c>
      <c r="C85" s="75">
        <v>56016.900699999998</v>
      </c>
      <c r="D85" s="75">
        <v>1E-4</v>
      </c>
      <c r="E85" s="10">
        <f t="shared" ref="E85:E90" si="22">+(C85-C$7)/C$8</f>
        <v>3830.9506179235282</v>
      </c>
      <c r="F85">
        <f t="shared" si="21"/>
        <v>3831</v>
      </c>
      <c r="G85" s="9">
        <f t="shared" ref="G85:G90" si="23">+C85-(C$7+F85*C$8)</f>
        <v>-1.7691519999061711E-2</v>
      </c>
      <c r="I85" s="9">
        <f t="shared" si="18"/>
        <v>-1.7691519999061711E-2</v>
      </c>
      <c r="O85" s="9">
        <f t="shared" ca="1" si="19"/>
        <v>-1.8710219491420009E-2</v>
      </c>
      <c r="P85" s="9">
        <f t="shared" ref="P85:P90" si="24">+D$11+D$12*F85+D$13*F85^2</f>
        <v>-2.9058427423017338E-2</v>
      </c>
      <c r="Q85" s="11">
        <f t="shared" ref="Q85:Q90" si="25">+C85-15018.5</f>
        <v>40998.400699999998</v>
      </c>
      <c r="R85">
        <f t="shared" ref="R85:R90" si="26">+(P85-G85)^2</f>
        <v>1.2920658438477753E-4</v>
      </c>
      <c r="T85">
        <f t="shared" si="20"/>
        <v>0</v>
      </c>
      <c r="U85" s="108">
        <v>-5.5274316000577528E-2</v>
      </c>
    </row>
    <row r="86" spans="1:29">
      <c r="A86" s="99" t="s">
        <v>192</v>
      </c>
      <c r="B86" s="97" t="s">
        <v>41</v>
      </c>
      <c r="C86" s="100">
        <v>56067.413800000002</v>
      </c>
      <c r="D86" s="100">
        <v>2.9999999999999997E-4</v>
      </c>
      <c r="E86" s="10">
        <f t="shared" si="22"/>
        <v>3971.9470821468558</v>
      </c>
      <c r="F86">
        <f t="shared" si="21"/>
        <v>3972</v>
      </c>
      <c r="G86" s="9">
        <f t="shared" si="23"/>
        <v>-1.8958239998028148E-2</v>
      </c>
      <c r="I86" s="9">
        <f t="shared" si="18"/>
        <v>-1.8958239998028148E-2</v>
      </c>
      <c r="O86" s="9">
        <f t="shared" ca="1" si="19"/>
        <v>-1.9063226154885614E-2</v>
      </c>
      <c r="P86" s="9">
        <f t="shared" si="24"/>
        <v>-3.0249017389171823E-2</v>
      </c>
      <c r="Q86" s="11">
        <f t="shared" si="25"/>
        <v>41048.913800000002</v>
      </c>
      <c r="R86">
        <f t="shared" si="26"/>
        <v>1.2748165409636118E-4</v>
      </c>
      <c r="S86">
        <v>1</v>
      </c>
      <c r="T86">
        <f t="shared" si="20"/>
        <v>1.2748165409636118E-4</v>
      </c>
    </row>
    <row r="87" spans="1:29">
      <c r="A87" s="99" t="s">
        <v>192</v>
      </c>
      <c r="B87" s="97" t="s">
        <v>41</v>
      </c>
      <c r="C87" s="100">
        <v>56067.413860000001</v>
      </c>
      <c r="D87" s="100">
        <v>2.0000000000000001E-4</v>
      </c>
      <c r="E87" s="10">
        <f t="shared" si="22"/>
        <v>3971.9472496239587</v>
      </c>
      <c r="F87">
        <f>ROUND(2*E87,0)/2</f>
        <v>3972</v>
      </c>
      <c r="G87" s="9">
        <f t="shared" si="23"/>
        <v>-1.8898239999543875E-2</v>
      </c>
      <c r="I87" s="9">
        <f t="shared" si="18"/>
        <v>-1.8898239999543875E-2</v>
      </c>
      <c r="O87" s="9">
        <f t="shared" ca="1" si="19"/>
        <v>-1.9063226154885614E-2</v>
      </c>
      <c r="P87" s="9">
        <f t="shared" si="24"/>
        <v>-3.0249017389171823E-2</v>
      </c>
      <c r="Q87" s="11">
        <f t="shared" si="25"/>
        <v>41048.913860000001</v>
      </c>
      <c r="R87">
        <f t="shared" si="26"/>
        <v>1.2884014734888905E-4</v>
      </c>
      <c r="S87">
        <v>1</v>
      </c>
      <c r="T87">
        <f t="shared" si="20"/>
        <v>1.2884014734888905E-4</v>
      </c>
    </row>
    <row r="88" spans="1:29">
      <c r="A88" s="99" t="s">
        <v>192</v>
      </c>
      <c r="B88" s="97" t="s">
        <v>41</v>
      </c>
      <c r="C88" s="100">
        <v>56067.414049999999</v>
      </c>
      <c r="D88" s="100">
        <v>2.9999999999999997E-4</v>
      </c>
      <c r="E88" s="10">
        <f t="shared" si="22"/>
        <v>3971.9477799681272</v>
      </c>
      <c r="F88">
        <f t="shared" si="21"/>
        <v>3972</v>
      </c>
      <c r="G88" s="9">
        <f t="shared" si="23"/>
        <v>-1.87082400007057E-2</v>
      </c>
      <c r="I88" s="9">
        <f t="shared" si="18"/>
        <v>-1.87082400007057E-2</v>
      </c>
      <c r="O88" s="9">
        <f t="shared" ca="1" si="19"/>
        <v>-1.9063226154885614E-2</v>
      </c>
      <c r="P88" s="9">
        <f t="shared" si="24"/>
        <v>-3.0249017389171823E-2</v>
      </c>
      <c r="Q88" s="11">
        <f t="shared" si="25"/>
        <v>41048.914049999999</v>
      </c>
      <c r="R88">
        <f t="shared" si="26"/>
        <v>1.3318954273013094E-4</v>
      </c>
      <c r="S88">
        <v>1</v>
      </c>
      <c r="T88">
        <f t="shared" si="20"/>
        <v>1.3318954273013094E-4</v>
      </c>
    </row>
    <row r="89" spans="1:29">
      <c r="A89" s="99" t="s">
        <v>192</v>
      </c>
      <c r="B89" s="97" t="s">
        <v>41</v>
      </c>
      <c r="C89" s="100">
        <v>56067.414640000003</v>
      </c>
      <c r="D89" s="100">
        <v>2.0000000000000001E-4</v>
      </c>
      <c r="E89" s="10">
        <f t="shared" si="22"/>
        <v>3971.9494268263552</v>
      </c>
      <c r="F89">
        <f t="shared" si="21"/>
        <v>3972</v>
      </c>
      <c r="G89" s="9">
        <f t="shared" si="23"/>
        <v>-1.811823999742046E-2</v>
      </c>
      <c r="I89" s="9">
        <f t="shared" si="18"/>
        <v>-1.811823999742046E-2</v>
      </c>
      <c r="O89" s="9">
        <f t="shared" ca="1" si="19"/>
        <v>-1.9063226154885614E-2</v>
      </c>
      <c r="P89" s="9">
        <f t="shared" si="24"/>
        <v>-3.0249017389171823E-2</v>
      </c>
      <c r="Q89" s="11">
        <f t="shared" si="25"/>
        <v>41048.914640000003</v>
      </c>
      <c r="R89">
        <f t="shared" si="26"/>
        <v>1.4715576012822598E-4</v>
      </c>
      <c r="S89">
        <v>1</v>
      </c>
      <c r="T89">
        <f t="shared" si="20"/>
        <v>1.4715576012822598E-4</v>
      </c>
    </row>
    <row r="90" spans="1:29">
      <c r="A90" s="75" t="s">
        <v>185</v>
      </c>
      <c r="B90" s="74" t="s">
        <v>39</v>
      </c>
      <c r="C90" s="75">
        <v>56093.743999999999</v>
      </c>
      <c r="D90" s="75">
        <v>4.0000000000000002E-4</v>
      </c>
      <c r="E90" s="10">
        <f t="shared" si="22"/>
        <v>4045.4421775239425</v>
      </c>
      <c r="F90">
        <f t="shared" si="21"/>
        <v>4045.5</v>
      </c>
      <c r="G90" s="9">
        <f t="shared" si="23"/>
        <v>-2.0715359998575877E-2</v>
      </c>
      <c r="I90" s="9">
        <f t="shared" si="18"/>
        <v>-2.0715359998575877E-2</v>
      </c>
      <c r="O90" s="9">
        <f t="shared" ca="1" si="19"/>
        <v>-1.9247240266692153E-2</v>
      </c>
      <c r="P90" s="9">
        <f t="shared" si="24"/>
        <v>-3.0871454718194399E-2</v>
      </c>
      <c r="Q90" s="11">
        <f t="shared" si="25"/>
        <v>41075.243999999999</v>
      </c>
      <c r="R90">
        <f t="shared" si="26"/>
        <v>1.0314625995386322E-4</v>
      </c>
      <c r="T90">
        <f t="shared" si="20"/>
        <v>0</v>
      </c>
      <c r="U90" s="108">
        <v>-5.9460746000695508E-2</v>
      </c>
    </row>
    <row r="91" spans="1:29">
      <c r="A91" s="35"/>
      <c r="B91" s="114"/>
      <c r="C91" s="86"/>
      <c r="D91" s="14"/>
      <c r="AC91" s="132" t="s">
        <v>120</v>
      </c>
    </row>
    <row r="92" spans="1:29">
      <c r="A92" s="35"/>
      <c r="B92" s="114"/>
      <c r="C92" s="86"/>
      <c r="D92" s="14"/>
      <c r="AC92" s="132" t="s">
        <v>58</v>
      </c>
    </row>
    <row r="93" spans="1:29">
      <c r="A93" s="20"/>
      <c r="B93" s="154"/>
      <c r="C93" s="155"/>
      <c r="D93" s="14"/>
      <c r="AC93" s="132" t="s">
        <v>121</v>
      </c>
    </row>
    <row r="94" spans="1:29">
      <c r="A94" s="20"/>
      <c r="B94" s="154"/>
      <c r="C94" s="155"/>
      <c r="D94" s="14"/>
      <c r="AC94" s="132" t="s">
        <v>58</v>
      </c>
    </row>
    <row r="95" spans="1:29">
      <c r="A95" s="20"/>
      <c r="B95" s="154"/>
      <c r="C95" s="155"/>
      <c r="D95" s="14"/>
      <c r="AC95" s="132" t="s">
        <v>121</v>
      </c>
    </row>
    <row r="96" spans="1:29">
      <c r="A96" s="20"/>
      <c r="B96" s="154"/>
      <c r="C96" s="155"/>
      <c r="D96" s="14"/>
      <c r="AC96" s="132" t="s">
        <v>120</v>
      </c>
    </row>
    <row r="97" spans="1:29">
      <c r="A97" s="20"/>
      <c r="B97" s="154"/>
      <c r="C97" s="155"/>
      <c r="D97" s="14"/>
      <c r="AC97" s="132" t="s">
        <v>58</v>
      </c>
    </row>
    <row r="98" spans="1:29">
      <c r="A98" s="20"/>
      <c r="B98" s="154"/>
      <c r="C98" s="155"/>
      <c r="D98" s="14"/>
      <c r="AC98" s="132" t="s">
        <v>121</v>
      </c>
    </row>
    <row r="99" spans="1:29">
      <c r="A99" s="20"/>
      <c r="B99" s="154"/>
      <c r="C99" s="155"/>
      <c r="D99" s="14"/>
      <c r="AC99" s="132" t="s">
        <v>120</v>
      </c>
    </row>
    <row r="100" spans="1:29">
      <c r="A100" s="20"/>
      <c r="B100" s="154"/>
      <c r="C100" s="155"/>
      <c r="D100" s="14"/>
      <c r="AC100" s="132" t="s">
        <v>58</v>
      </c>
    </row>
    <row r="101" spans="1:29">
      <c r="A101" s="20"/>
      <c r="B101" s="154"/>
      <c r="C101" s="155"/>
      <c r="D101" s="14"/>
      <c r="AC101" s="14" t="s">
        <v>121</v>
      </c>
    </row>
    <row r="102" spans="1:29">
      <c r="A102" s="20"/>
      <c r="B102" s="154"/>
      <c r="C102" s="155"/>
      <c r="D102" s="14"/>
      <c r="AC102" s="14" t="s">
        <v>120</v>
      </c>
    </row>
    <row r="103" spans="1:29">
      <c r="A103" s="20"/>
      <c r="B103" s="154"/>
      <c r="C103" s="155"/>
      <c r="D103" s="14"/>
      <c r="AC103" s="14" t="s">
        <v>58</v>
      </c>
    </row>
    <row r="104" spans="1:29">
      <c r="A104" s="20"/>
      <c r="B104" s="154"/>
      <c r="C104" s="155"/>
      <c r="D104" s="14"/>
      <c r="AC104" s="14" t="s">
        <v>121</v>
      </c>
    </row>
    <row r="105" spans="1:29">
      <c r="A105" s="20"/>
      <c r="B105" s="154"/>
      <c r="C105" s="155"/>
      <c r="D105" s="14"/>
      <c r="AC105" s="14" t="s">
        <v>120</v>
      </c>
    </row>
    <row r="106" spans="1:29">
      <c r="A106" s="20"/>
      <c r="B106" s="154"/>
      <c r="C106" s="155"/>
      <c r="D106" s="14"/>
      <c r="AC106" s="14" t="s">
        <v>58</v>
      </c>
    </row>
    <row r="107" spans="1:29">
      <c r="A107" s="20"/>
      <c r="B107" s="154"/>
      <c r="C107" s="155"/>
      <c r="D107" s="14"/>
      <c r="AC107" s="14" t="s">
        <v>121</v>
      </c>
    </row>
    <row r="108" spans="1:29">
      <c r="A108" s="20"/>
      <c r="B108" s="154"/>
      <c r="C108" s="155"/>
      <c r="D108" s="14"/>
      <c r="AC108" s="14" t="s">
        <v>120</v>
      </c>
    </row>
    <row r="109" spans="1:29">
      <c r="A109" s="20"/>
      <c r="B109" s="154"/>
      <c r="C109" s="155"/>
      <c r="D109" s="14"/>
      <c r="AC109" s="14" t="s">
        <v>58</v>
      </c>
    </row>
    <row r="110" spans="1:29">
      <c r="A110" s="20"/>
      <c r="B110" s="154"/>
      <c r="C110" s="155"/>
      <c r="D110" s="14"/>
      <c r="AC110" s="14" t="s">
        <v>121</v>
      </c>
    </row>
    <row r="111" spans="1:29">
      <c r="C111" s="14"/>
      <c r="D111" s="14"/>
    </row>
    <row r="112" spans="1:29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541"/>
  <sheetViews>
    <sheetView workbookViewId="0">
      <selection activeCell="D69" sqref="D69"/>
    </sheetView>
  </sheetViews>
  <sheetFormatPr defaultColWidth="10.28515625" defaultRowHeight="12.75"/>
  <cols>
    <col min="1" max="1" width="17.42578125" customWidth="1"/>
    <col min="2" max="2" width="4.140625" customWidth="1"/>
    <col min="3" max="3" width="11.85546875" style="9" customWidth="1"/>
    <col min="4" max="4" width="14.28515625" style="9" customWidth="1"/>
    <col min="5" max="5" width="16.42578125" style="10" customWidth="1"/>
    <col min="6" max="6" width="9.140625" customWidth="1"/>
    <col min="7" max="7" width="7.140625" style="9" bestFit="1" customWidth="1"/>
    <col min="8" max="8" width="7.85546875" style="9" bestFit="1" customWidth="1"/>
    <col min="9" max="9" width="8.85546875" style="9" bestFit="1" customWidth="1"/>
    <col min="10" max="10" width="10.85546875" style="9" bestFit="1" customWidth="1"/>
    <col min="11" max="11" width="7.140625" style="9" customWidth="1"/>
    <col min="12" max="12" width="7.5703125" style="9" bestFit="1" customWidth="1"/>
    <col min="13" max="13" width="8.42578125" style="9" customWidth="1"/>
    <col min="14" max="14" width="7.140625" style="9" bestFit="1" customWidth="1"/>
    <col min="15" max="15" width="7" style="9" bestFit="1" customWidth="1"/>
    <col min="16" max="16" width="7.7109375" style="9" customWidth="1"/>
    <col min="17" max="17" width="10.42578125" style="11" customWidth="1"/>
  </cols>
  <sheetData>
    <row r="1" spans="1:23" ht="21" thickBot="1">
      <c r="A1" s="1" t="s">
        <v>44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V1" s="7" t="s">
        <v>13</v>
      </c>
      <c r="W1" s="7" t="s">
        <v>50</v>
      </c>
    </row>
    <row r="2" spans="1:23">
      <c r="A2" t="s">
        <v>27</v>
      </c>
      <c r="B2" t="s">
        <v>30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V2">
        <v>-70000</v>
      </c>
      <c r="W2" s="38">
        <f t="shared" ref="W2:W19" si="0">+D$11+D$12*V2+D$13*V2^2</f>
        <v>-0.26815895972259141</v>
      </c>
    </row>
    <row r="3" spans="1:23" ht="13.5" thickBot="1">
      <c r="C3"/>
      <c r="D3"/>
      <c r="E3"/>
      <c r="G3"/>
      <c r="H3"/>
      <c r="I3"/>
      <c r="J3"/>
      <c r="K3"/>
      <c r="L3"/>
      <c r="M3"/>
      <c r="N3"/>
      <c r="O3"/>
      <c r="P3"/>
      <c r="Q3"/>
      <c r="V3">
        <v>-65000</v>
      </c>
      <c r="W3" s="38">
        <f t="shared" si="0"/>
        <v>-0.19189865848060539</v>
      </c>
    </row>
    <row r="4" spans="1:23" ht="14.25" thickTop="1" thickBot="1">
      <c r="A4" s="6" t="s">
        <v>3</v>
      </c>
      <c r="B4" s="6"/>
      <c r="C4" s="2">
        <v>44788.590100000001</v>
      </c>
      <c r="D4" s="3">
        <v>0.35826333999999999</v>
      </c>
      <c r="E4"/>
      <c r="F4" s="33" t="str">
        <f>"F"&amp;E5</f>
        <v>F47</v>
      </c>
      <c r="G4" s="34" t="str">
        <f>"G"&amp;E5</f>
        <v>G47</v>
      </c>
      <c r="H4"/>
      <c r="I4"/>
      <c r="J4"/>
      <c r="K4"/>
      <c r="L4"/>
      <c r="M4"/>
      <c r="N4"/>
      <c r="O4"/>
      <c r="P4"/>
      <c r="Q4"/>
      <c r="V4">
        <v>-60000</v>
      </c>
      <c r="W4" s="38">
        <f t="shared" si="0"/>
        <v>-0.1243316579005852</v>
      </c>
    </row>
    <row r="5" spans="1:23" ht="13.5" thickTop="1">
      <c r="A5" s="35" t="s">
        <v>48</v>
      </c>
      <c r="C5"/>
      <c r="D5"/>
      <c r="E5" s="36">
        <v>47</v>
      </c>
      <c r="G5"/>
      <c r="H5"/>
      <c r="I5"/>
      <c r="J5"/>
      <c r="K5"/>
      <c r="L5"/>
      <c r="M5"/>
      <c r="N5"/>
      <c r="O5"/>
      <c r="P5"/>
      <c r="Q5"/>
      <c r="V5">
        <v>-55000</v>
      </c>
      <c r="W5" s="38">
        <f t="shared" si="0"/>
        <v>-6.545795798253079E-2</v>
      </c>
    </row>
    <row r="6" spans="1:23">
      <c r="A6" s="6" t="s">
        <v>4</v>
      </c>
      <c r="B6" s="6"/>
      <c r="C6"/>
      <c r="D6"/>
      <c r="E6"/>
      <c r="G6"/>
      <c r="H6"/>
      <c r="I6"/>
      <c r="J6"/>
      <c r="K6"/>
      <c r="L6"/>
      <c r="M6"/>
      <c r="N6"/>
      <c r="O6"/>
      <c r="P6"/>
      <c r="Q6"/>
      <c r="V6">
        <v>-50000</v>
      </c>
      <c r="W6" s="38">
        <f t="shared" si="0"/>
        <v>-1.527755872644232E-2</v>
      </c>
    </row>
    <row r="7" spans="1:23">
      <c r="A7" t="s">
        <v>5</v>
      </c>
      <c r="C7" s="9">
        <v>52016.981609549999</v>
      </c>
      <c r="D7"/>
      <c r="E7"/>
      <c r="G7"/>
      <c r="H7"/>
      <c r="I7"/>
      <c r="J7"/>
      <c r="K7"/>
      <c r="L7"/>
      <c r="M7"/>
      <c r="N7"/>
      <c r="O7"/>
      <c r="P7"/>
      <c r="Q7"/>
      <c r="V7">
        <v>-45000</v>
      </c>
      <c r="W7" s="38">
        <f t="shared" si="0"/>
        <v>2.6209539867680209E-2</v>
      </c>
    </row>
    <row r="8" spans="1:23">
      <c r="A8" t="s">
        <v>6</v>
      </c>
      <c r="C8" s="12">
        <v>0.35826333999999999</v>
      </c>
      <c r="D8"/>
      <c r="E8"/>
      <c r="G8"/>
      <c r="H8"/>
      <c r="I8"/>
      <c r="J8"/>
      <c r="K8"/>
      <c r="L8"/>
      <c r="M8"/>
      <c r="N8"/>
      <c r="O8"/>
      <c r="P8"/>
      <c r="Q8"/>
      <c r="V8">
        <v>-40000</v>
      </c>
      <c r="W8" s="38">
        <f t="shared" si="0"/>
        <v>5.9003337799836963E-2</v>
      </c>
    </row>
    <row r="9" spans="1:23">
      <c r="A9" s="15" t="s">
        <v>45</v>
      </c>
      <c r="B9" s="16"/>
      <c r="C9" s="17">
        <v>8</v>
      </c>
      <c r="D9" s="16" t="s">
        <v>46</v>
      </c>
      <c r="E9" s="16"/>
      <c r="G9"/>
      <c r="H9"/>
      <c r="I9"/>
      <c r="J9"/>
      <c r="K9"/>
      <c r="L9"/>
      <c r="M9"/>
      <c r="N9"/>
      <c r="O9"/>
      <c r="P9"/>
      <c r="Q9"/>
      <c r="V9">
        <v>-35000</v>
      </c>
      <c r="W9" s="38">
        <f t="shared" si="0"/>
        <v>8.3103835070027859E-2</v>
      </c>
    </row>
    <row r="10" spans="1:23" ht="13.5" thickBot="1">
      <c r="A10" s="16"/>
      <c r="B10" s="16"/>
      <c r="C10" s="5" t="s">
        <v>23</v>
      </c>
      <c r="D10" s="5" t="s">
        <v>24</v>
      </c>
      <c r="E10" s="16"/>
      <c r="G10"/>
      <c r="H10"/>
      <c r="I10"/>
      <c r="J10"/>
      <c r="K10"/>
      <c r="L10"/>
      <c r="M10"/>
      <c r="N10"/>
      <c r="O10"/>
      <c r="P10"/>
      <c r="Q10"/>
      <c r="V10">
        <v>-30000</v>
      </c>
      <c r="W10" s="38">
        <f t="shared" si="0"/>
        <v>9.8511031678252814E-2</v>
      </c>
    </row>
    <row r="11" spans="1:23">
      <c r="A11" s="16" t="s">
        <v>19</v>
      </c>
      <c r="B11" s="16"/>
      <c r="C11" s="32">
        <f ca="1">INTERCEPT(INDIRECT($G$4):G974,INDIRECT($F$4):F974)</f>
        <v>-2.2172628339540978E-5</v>
      </c>
      <c r="D11" s="4">
        <f>+E11*F11</f>
        <v>8.3948974263195648E-3</v>
      </c>
      <c r="E11" s="39">
        <v>83.948974263195652</v>
      </c>
      <c r="F11" s="38">
        <v>1E-4</v>
      </c>
      <c r="H11"/>
      <c r="I11"/>
      <c r="J11"/>
      <c r="K11"/>
      <c r="L11"/>
      <c r="M11"/>
      <c r="N11"/>
      <c r="O11"/>
      <c r="P11"/>
      <c r="Q11"/>
      <c r="V11">
        <v>-25000</v>
      </c>
      <c r="W11" s="38">
        <f t="shared" si="0"/>
        <v>0.10522492762451201</v>
      </c>
    </row>
    <row r="12" spans="1:23">
      <c r="A12" s="16" t="s">
        <v>20</v>
      </c>
      <c r="B12" s="16"/>
      <c r="C12" s="32">
        <f ca="1">SLOPE(INDIRECT($G$4):G974,INDIRECT($F$4):F974)</f>
        <v>-8.2571781329599265E-6</v>
      </c>
      <c r="D12" s="4">
        <f>+E12*F12</f>
        <v>-8.2198515389106316E-6</v>
      </c>
      <c r="E12" s="40">
        <v>-8.2198515389106319</v>
      </c>
      <c r="F12" s="38">
        <v>9.9999999999999995E-7</v>
      </c>
      <c r="G12"/>
      <c r="H12"/>
      <c r="I12"/>
      <c r="J12"/>
      <c r="K12"/>
      <c r="L12"/>
      <c r="M12"/>
      <c r="N12"/>
      <c r="O12"/>
      <c r="P12"/>
      <c r="Q12"/>
      <c r="V12">
        <v>-20000</v>
      </c>
      <c r="W12" s="38">
        <f t="shared" si="0"/>
        <v>0.10324552290880525</v>
      </c>
    </row>
    <row r="13" spans="1:23" ht="13.5" thickBot="1">
      <c r="A13" s="16" t="s">
        <v>22</v>
      </c>
      <c r="B13" s="16"/>
      <c r="C13" s="4" t="s">
        <v>17</v>
      </c>
      <c r="D13" s="4">
        <f>+E13*F13</f>
        <v>-1.738660132393174E-10</v>
      </c>
      <c r="E13" s="41">
        <v>-0.17386601323931739</v>
      </c>
      <c r="F13" s="38">
        <v>1.0000000000000001E-9</v>
      </c>
      <c r="G13"/>
      <c r="H13"/>
      <c r="I13"/>
      <c r="J13"/>
      <c r="K13"/>
      <c r="L13"/>
      <c r="M13"/>
      <c r="N13"/>
      <c r="O13"/>
      <c r="P13"/>
      <c r="Q13"/>
      <c r="V13">
        <v>-15000</v>
      </c>
      <c r="W13" s="38">
        <f t="shared" si="0"/>
        <v>9.2572817531132626E-2</v>
      </c>
    </row>
    <row r="14" spans="1:23">
      <c r="A14" s="16"/>
      <c r="B14" s="16"/>
      <c r="C14" s="16"/>
      <c r="D14" s="16"/>
      <c r="E14" s="16">
        <f>SUM(T21:T152)</f>
        <v>2.9230541150992023E-3</v>
      </c>
      <c r="G14"/>
      <c r="H14"/>
      <c r="I14"/>
      <c r="J14"/>
      <c r="K14"/>
      <c r="L14"/>
      <c r="M14"/>
      <c r="N14"/>
      <c r="O14"/>
      <c r="P14"/>
      <c r="Q14"/>
      <c r="V14">
        <v>-10000</v>
      </c>
      <c r="W14" s="38">
        <f t="shared" si="0"/>
        <v>7.3206811491494134E-2</v>
      </c>
    </row>
    <row r="15" spans="1:23">
      <c r="A15" s="18" t="s">
        <v>21</v>
      </c>
      <c r="B15" s="16"/>
      <c r="C15" s="19">
        <f ca="1">(C7+C11)+(C8+C12)*INT(MAX(F21:F3515))</f>
        <v>56067.413553761398</v>
      </c>
      <c r="D15" s="34">
        <f>+C7+INT(MAX(F21:F1589))*C8+D11+D12*INT(MAX(F21:F4024))+D13*INT(MAX(F21:F4051)^2)</f>
        <v>56067.400168312204</v>
      </c>
      <c r="E15" s="21"/>
      <c r="G15"/>
      <c r="H15"/>
      <c r="I15"/>
      <c r="J15"/>
      <c r="K15"/>
      <c r="L15"/>
      <c r="M15"/>
      <c r="N15"/>
      <c r="O15"/>
      <c r="P15"/>
      <c r="Q15"/>
      <c r="V15">
        <v>-5000</v>
      </c>
      <c r="W15" s="38">
        <f t="shared" si="0"/>
        <v>4.514750478988979E-2</v>
      </c>
    </row>
    <row r="16" spans="1:23">
      <c r="A16" s="22" t="s">
        <v>7</v>
      </c>
      <c r="B16" s="16"/>
      <c r="C16" s="23">
        <f ca="1">+C8+C12</f>
        <v>0.35825508282186702</v>
      </c>
      <c r="D16" s="34">
        <f>+C8+D12+2*D13*F91</f>
        <v>0.35825512014846106</v>
      </c>
      <c r="E16" s="21"/>
      <c r="G16"/>
      <c r="H16"/>
      <c r="I16"/>
      <c r="J16"/>
      <c r="K16"/>
      <c r="L16"/>
      <c r="M16"/>
      <c r="N16"/>
      <c r="O16"/>
      <c r="P16"/>
      <c r="Q16"/>
      <c r="V16">
        <v>0</v>
      </c>
      <c r="W16" s="38">
        <f t="shared" si="0"/>
        <v>8.3948974263195648E-3</v>
      </c>
    </row>
    <row r="17" spans="1:23" ht="13.5" thickBot="1">
      <c r="A17" s="20" t="s">
        <v>43</v>
      </c>
      <c r="B17" s="16"/>
      <c r="C17" s="16">
        <f>COUNT(C21:C2173)</f>
        <v>67</v>
      </c>
      <c r="D17" s="20"/>
      <c r="E17" s="24"/>
      <c r="G17"/>
      <c r="H17"/>
      <c r="I17"/>
      <c r="J17"/>
      <c r="K17"/>
      <c r="L17"/>
      <c r="M17"/>
      <c r="N17"/>
      <c r="O17"/>
      <c r="P17"/>
      <c r="Q17"/>
      <c r="V17">
        <v>5000</v>
      </c>
      <c r="W17" s="38">
        <f t="shared" si="0"/>
        <v>-3.7051010599216526E-2</v>
      </c>
    </row>
    <row r="18" spans="1:23" ht="14.25" thickTop="1" thickBot="1">
      <c r="A18" s="22" t="s">
        <v>151</v>
      </c>
      <c r="B18" s="16"/>
      <c r="C18" s="110">
        <f ca="1">+C15</f>
        <v>56067.413553761398</v>
      </c>
      <c r="D18" s="111">
        <f ca="1">+C16</f>
        <v>0.35825508282186702</v>
      </c>
      <c r="E18" s="27"/>
      <c r="G18"/>
      <c r="H18"/>
      <c r="I18"/>
      <c r="J18"/>
      <c r="K18"/>
      <c r="L18"/>
      <c r="M18"/>
      <c r="N18"/>
      <c r="O18"/>
      <c r="P18"/>
      <c r="Q18"/>
      <c r="V18">
        <v>10000</v>
      </c>
      <c r="W18" s="38">
        <f t="shared" si="0"/>
        <v>-9.1190219286718499E-2</v>
      </c>
    </row>
    <row r="19" spans="1:23" ht="13.5" thickBot="1">
      <c r="A19" s="22" t="s">
        <v>152</v>
      </c>
      <c r="C19" s="112">
        <f>+D15</f>
        <v>56067.400168312204</v>
      </c>
      <c r="D19" s="113">
        <f>+D16</f>
        <v>0.35825512014846106</v>
      </c>
      <c r="G19"/>
      <c r="H19"/>
      <c r="I19"/>
      <c r="J19"/>
      <c r="K19"/>
      <c r="L19"/>
      <c r="M19"/>
      <c r="N19"/>
      <c r="O19"/>
      <c r="P19"/>
      <c r="Q19"/>
      <c r="V19">
        <v>15000</v>
      </c>
      <c r="W19" s="38">
        <f t="shared" si="0"/>
        <v>-0.15402272863618632</v>
      </c>
    </row>
    <row r="20" spans="1:23" ht="1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15</v>
      </c>
      <c r="I20" s="8" t="s">
        <v>34</v>
      </c>
      <c r="J20" s="8" t="s">
        <v>35</v>
      </c>
      <c r="K20" s="8" t="s">
        <v>36</v>
      </c>
      <c r="L20" s="8" t="s">
        <v>37</v>
      </c>
      <c r="M20" s="8" t="s">
        <v>28</v>
      </c>
      <c r="N20" s="8" t="s">
        <v>29</v>
      </c>
      <c r="O20" s="8" t="s">
        <v>26</v>
      </c>
      <c r="P20" s="7" t="s">
        <v>25</v>
      </c>
      <c r="Q20" s="5" t="s">
        <v>18</v>
      </c>
      <c r="R20" s="7" t="s">
        <v>153</v>
      </c>
      <c r="S20" s="7" t="s">
        <v>155</v>
      </c>
      <c r="T20" s="7" t="s">
        <v>154</v>
      </c>
    </row>
    <row r="21" spans="1:23">
      <c r="A21" s="108" t="s">
        <v>142</v>
      </c>
      <c r="B21" s="4"/>
      <c r="C21" s="14">
        <v>28731.308000000001</v>
      </c>
      <c r="D21" s="14"/>
      <c r="E21" s="10">
        <f t="shared" ref="E21:E52" si="1">+(C21-C$7)/C$8</f>
        <v>-64995.970867546755</v>
      </c>
      <c r="F21" s="135">
        <f t="shared" ref="F21:F33" si="2">ROUND(2*E21,0)/2+0.5</f>
        <v>-64995.5</v>
      </c>
      <c r="G21" s="9">
        <f t="shared" ref="G21:G52" si="3">+C21-(C$7+F21*C$8)</f>
        <v>-0.16869457999928272</v>
      </c>
      <c r="I21" s="9">
        <f>+G21</f>
        <v>-0.16869457999928272</v>
      </c>
      <c r="P21" s="9">
        <f t="shared" ref="P21:P52" si="4">+D$11+D$12*F21+D$13*F21^2</f>
        <v>-0.19183393971557228</v>
      </c>
      <c r="Q21" s="11">
        <f t="shared" ref="Q21:Q52" si="5">+C21-15018.5</f>
        <v>13712.808000000001</v>
      </c>
      <c r="R21">
        <f t="shared" ref="R21:R52" si="6">+(P21-G21)^2</f>
        <v>5.3542996807984375E-4</v>
      </c>
      <c r="S21">
        <v>0.1</v>
      </c>
      <c r="T21">
        <f t="shared" ref="T21:T52" si="7">S21*R21</f>
        <v>5.3542996807984377E-5</v>
      </c>
      <c r="U21">
        <f>VLOOKUP(C21,'A (3)'!C$41:E$95,3,FALSE)</f>
        <v>-44820.459960737237</v>
      </c>
    </row>
    <row r="22" spans="1:23">
      <c r="A22" s="108" t="s">
        <v>142</v>
      </c>
      <c r="B22" s="4"/>
      <c r="C22" s="14">
        <v>28731.477999999999</v>
      </c>
      <c r="D22" s="14"/>
      <c r="E22" s="10">
        <f t="shared" si="1"/>
        <v>-64995.49635625571</v>
      </c>
      <c r="F22" s="135">
        <f t="shared" si="2"/>
        <v>-64995</v>
      </c>
      <c r="G22" s="9">
        <f t="shared" si="3"/>
        <v>-0.17782625000108965</v>
      </c>
      <c r="I22" s="9">
        <f>+G22</f>
        <v>-0.17782625000108965</v>
      </c>
      <c r="P22" s="9">
        <f t="shared" si="4"/>
        <v>-0.19182674917634468</v>
      </c>
      <c r="Q22" s="11">
        <f t="shared" si="5"/>
        <v>13712.977999999999</v>
      </c>
      <c r="R22">
        <f t="shared" si="6"/>
        <v>1.9601397715631683E-4</v>
      </c>
      <c r="S22">
        <v>0.1</v>
      </c>
      <c r="T22">
        <f t="shared" si="7"/>
        <v>1.9601397715631686E-5</v>
      </c>
      <c r="U22">
        <f>VLOOKUP(C22,'A (3)'!C$41:E$95,3,FALSE)</f>
        <v>-44819.985442333644</v>
      </c>
    </row>
    <row r="23" spans="1:23">
      <c r="A23" s="108" t="s">
        <v>142</v>
      </c>
      <c r="B23" s="4"/>
      <c r="C23" s="14">
        <v>29046.215</v>
      </c>
      <c r="D23" s="14"/>
      <c r="E23" s="10">
        <f t="shared" si="1"/>
        <v>-64116.988943244934</v>
      </c>
      <c r="F23" s="135">
        <f t="shared" si="2"/>
        <v>-64116.5</v>
      </c>
      <c r="G23" s="9">
        <f t="shared" si="3"/>
        <v>-0.1751704400012386</v>
      </c>
      <c r="I23" s="9">
        <f>+G23</f>
        <v>-0.1751704400012386</v>
      </c>
      <c r="P23" s="9">
        <f t="shared" si="4"/>
        <v>-0.17932723134978379</v>
      </c>
      <c r="Q23" s="11">
        <f t="shared" si="5"/>
        <v>14027.715</v>
      </c>
      <c r="R23">
        <f t="shared" si="6"/>
        <v>1.7278914315340103E-5</v>
      </c>
      <c r="S23">
        <v>0.1</v>
      </c>
      <c r="T23">
        <f t="shared" si="7"/>
        <v>1.7278914315340104E-6</v>
      </c>
      <c r="U23">
        <f>VLOOKUP(C23,'A (3)'!C$41:E$95,3,FALSE)</f>
        <v>-43941.464861200438</v>
      </c>
    </row>
    <row r="24" spans="1:23">
      <c r="A24" s="108" t="s">
        <v>142</v>
      </c>
      <c r="B24" s="4"/>
      <c r="C24" s="14">
        <v>29046.404999999999</v>
      </c>
      <c r="D24" s="14"/>
      <c r="E24" s="10">
        <f t="shared" si="1"/>
        <v>-64116.458607096116</v>
      </c>
      <c r="F24" s="135">
        <f t="shared" si="2"/>
        <v>-64116</v>
      </c>
      <c r="G24" s="9">
        <f t="shared" si="3"/>
        <v>-0.16430211000260897</v>
      </c>
      <c r="I24" s="9">
        <f>+G24</f>
        <v>-0.16430211000260897</v>
      </c>
      <c r="P24" s="9">
        <f t="shared" si="4"/>
        <v>-0.17932019363878193</v>
      </c>
      <c r="Q24" s="11">
        <f t="shared" si="5"/>
        <v>14027.904999999999</v>
      </c>
      <c r="R24">
        <f t="shared" si="6"/>
        <v>2.2554283610308612E-4</v>
      </c>
      <c r="S24">
        <v>0.1</v>
      </c>
      <c r="T24">
        <f t="shared" si="7"/>
        <v>2.2554283610308613E-5</v>
      </c>
      <c r="U24">
        <f>VLOOKUP(C24,'A (3)'!C$41:E$95,3,FALSE)</f>
        <v>-43940.934517102309</v>
      </c>
    </row>
    <row r="25" spans="1:23">
      <c r="A25" s="108" t="s">
        <v>31</v>
      </c>
      <c r="B25" s="4"/>
      <c r="C25" s="14">
        <v>29369.184000000001</v>
      </c>
      <c r="D25" s="14"/>
      <c r="E25" s="10">
        <f t="shared" si="1"/>
        <v>-63215.504018775682</v>
      </c>
      <c r="F25" s="135">
        <f t="shared" si="2"/>
        <v>-63215</v>
      </c>
      <c r="G25" s="9">
        <f t="shared" si="3"/>
        <v>-0.18057145000057062</v>
      </c>
      <c r="I25" s="9">
        <f>+G25</f>
        <v>-0.18057145000057062</v>
      </c>
      <c r="P25" s="9">
        <f t="shared" si="4"/>
        <v>-0.16677946134341071</v>
      </c>
      <c r="Q25" s="11">
        <f t="shared" si="5"/>
        <v>14350.684000000001</v>
      </c>
      <c r="R25">
        <f t="shared" si="6"/>
        <v>1.9021895111922776E-4</v>
      </c>
      <c r="S25">
        <v>0.1</v>
      </c>
      <c r="T25">
        <f t="shared" si="7"/>
        <v>1.9021895111922778E-5</v>
      </c>
      <c r="U25">
        <f>VLOOKUP(C25,'A (3)'!C$41:E$95,3,FALSE)</f>
        <v>-43039.966424194281</v>
      </c>
    </row>
    <row r="26" spans="1:23">
      <c r="A26" s="73" t="s">
        <v>124</v>
      </c>
      <c r="B26" s="37" t="s">
        <v>39</v>
      </c>
      <c r="C26" s="76">
        <v>29645.01</v>
      </c>
      <c r="D26" s="76"/>
      <c r="E26" s="10">
        <f t="shared" si="1"/>
        <v>-62445.606657800941</v>
      </c>
      <c r="F26" s="135">
        <f t="shared" si="2"/>
        <v>-62445</v>
      </c>
      <c r="G26" s="9">
        <f t="shared" si="3"/>
        <v>-0.21734325000215904</v>
      </c>
      <c r="N26" s="9">
        <f>G26</f>
        <v>-0.21734325000215904</v>
      </c>
      <c r="O26" s="9">
        <f ca="1">+C$11+C$12*F26</f>
        <v>0.51559731588434299</v>
      </c>
      <c r="P26" s="9">
        <f t="shared" si="4"/>
        <v>-0.15628578454615938</v>
      </c>
      <c r="Q26" s="11">
        <f t="shared" si="5"/>
        <v>14626.509999999998</v>
      </c>
      <c r="R26">
        <f t="shared" si="6"/>
        <v>3.7280140879105915E-3</v>
      </c>
      <c r="S26">
        <v>0.1</v>
      </c>
      <c r="T26">
        <f t="shared" si="7"/>
        <v>3.7280140879105919E-4</v>
      </c>
      <c r="U26">
        <f>VLOOKUP(C26,'A (3)'!C$41:E$95,3,FALSE)</f>
        <v>-42270.057523074793</v>
      </c>
    </row>
    <row r="27" spans="1:23">
      <c r="A27" s="130" t="s">
        <v>183</v>
      </c>
      <c r="B27" s="131" t="s">
        <v>39</v>
      </c>
      <c r="C27" s="132">
        <v>29645.01</v>
      </c>
      <c r="D27" s="132"/>
      <c r="E27" s="10">
        <f t="shared" si="1"/>
        <v>-62445.606657800941</v>
      </c>
      <c r="F27" s="135">
        <f t="shared" si="2"/>
        <v>-62445</v>
      </c>
      <c r="G27" s="9">
        <f t="shared" si="3"/>
        <v>-0.21734325000215904</v>
      </c>
      <c r="N27" s="9">
        <f>+G27</f>
        <v>-0.21734325000215904</v>
      </c>
      <c r="O27" s="9">
        <f ca="1">+C$11+C$12*F27</f>
        <v>0.51559731588434299</v>
      </c>
      <c r="P27" s="9">
        <f t="shared" si="4"/>
        <v>-0.15628578454615938</v>
      </c>
      <c r="Q27" s="11">
        <f t="shared" si="5"/>
        <v>14626.509999999998</v>
      </c>
      <c r="R27">
        <f t="shared" si="6"/>
        <v>3.7280140879105915E-3</v>
      </c>
      <c r="S27">
        <v>0.1</v>
      </c>
      <c r="T27">
        <f t="shared" si="7"/>
        <v>3.7280140879105919E-4</v>
      </c>
      <c r="U27">
        <f>VLOOKUP(C27,'A (3)'!C$41:E$95,3,FALSE)</f>
        <v>-42270.057523074793</v>
      </c>
    </row>
    <row r="28" spans="1:23">
      <c r="A28" s="108" t="s">
        <v>142</v>
      </c>
      <c r="B28" s="4"/>
      <c r="C28" s="14">
        <v>30493.286</v>
      </c>
      <c r="D28" s="14"/>
      <c r="E28" s="10">
        <f t="shared" si="1"/>
        <v>-60077.862305280803</v>
      </c>
      <c r="F28" s="135">
        <f t="shared" si="2"/>
        <v>-60077.5</v>
      </c>
      <c r="G28" s="9">
        <f t="shared" si="3"/>
        <v>-0.12980070000048727</v>
      </c>
      <c r="I28" s="9">
        <f>+G28</f>
        <v>-0.12980070000048727</v>
      </c>
      <c r="P28" s="9">
        <f t="shared" si="4"/>
        <v>-0.12531261761218726</v>
      </c>
      <c r="Q28" s="11">
        <f t="shared" si="5"/>
        <v>15474.786</v>
      </c>
      <c r="R28">
        <f t="shared" si="6"/>
        <v>2.0142883524168701E-5</v>
      </c>
      <c r="S28">
        <v>0.1</v>
      </c>
      <c r="T28">
        <f t="shared" si="7"/>
        <v>2.0142883524168703E-6</v>
      </c>
      <c r="U28">
        <f>VLOOKUP(C28,'A (3)'!C$41:E$95,3,FALSE)</f>
        <v>-39902.277679963416</v>
      </c>
    </row>
    <row r="29" spans="1:23">
      <c r="A29" s="108" t="s">
        <v>142</v>
      </c>
      <c r="B29" s="4"/>
      <c r="C29" s="14">
        <v>30493.473000000002</v>
      </c>
      <c r="D29" s="14"/>
      <c r="E29" s="10">
        <f t="shared" si="1"/>
        <v>-60077.34034286064</v>
      </c>
      <c r="F29" s="135">
        <f t="shared" si="2"/>
        <v>-60077</v>
      </c>
      <c r="G29" s="9">
        <f t="shared" si="3"/>
        <v>-0.12193236999883084</v>
      </c>
      <c r="I29" s="9">
        <f>+G29</f>
        <v>-0.12193236999883084</v>
      </c>
      <c r="P29" s="9">
        <f t="shared" si="4"/>
        <v>-0.1253062821460128</v>
      </c>
      <c r="Q29" s="11">
        <f t="shared" si="5"/>
        <v>15474.973000000002</v>
      </c>
      <c r="R29">
        <f t="shared" si="6"/>
        <v>1.1383283176902037E-5</v>
      </c>
      <c r="S29">
        <v>0.1</v>
      </c>
      <c r="T29">
        <f t="shared" si="7"/>
        <v>1.1383283176902036E-6</v>
      </c>
      <c r="U29">
        <f>VLOOKUP(C29,'A (3)'!C$41:E$95,3,FALSE)</f>
        <v>-39901.755709719451</v>
      </c>
    </row>
    <row r="30" spans="1:23">
      <c r="A30" s="108" t="s">
        <v>144</v>
      </c>
      <c r="B30" s="4"/>
      <c r="C30" s="14">
        <v>30899.22</v>
      </c>
      <c r="D30" s="14"/>
      <c r="E30" s="10">
        <f t="shared" si="1"/>
        <v>-58944.801914563737</v>
      </c>
      <c r="F30" s="135">
        <f t="shared" si="2"/>
        <v>-58944.5</v>
      </c>
      <c r="G30" s="9">
        <f t="shared" si="3"/>
        <v>-0.10816491999867139</v>
      </c>
      <c r="J30" s="9">
        <f>+G30</f>
        <v>-0.10816491999867139</v>
      </c>
      <c r="P30" s="9">
        <f t="shared" si="4"/>
        <v>-0.11117954265450958</v>
      </c>
      <c r="Q30" s="11">
        <f t="shared" si="5"/>
        <v>15880.720000000001</v>
      </c>
      <c r="R30">
        <f t="shared" si="6"/>
        <v>9.0879497570928651E-6</v>
      </c>
      <c r="S30">
        <v>0.1</v>
      </c>
      <c r="T30">
        <f t="shared" si="7"/>
        <v>9.0879497570928651E-7</v>
      </c>
      <c r="U30">
        <f>VLOOKUP(C30,'A (3)'!C$41:E$95,3,FALSE)</f>
        <v>-38769.200305578692</v>
      </c>
    </row>
    <row r="31" spans="1:23">
      <c r="A31" s="108" t="s">
        <v>144</v>
      </c>
      <c r="B31" s="4"/>
      <c r="C31" s="14">
        <v>30899.399000000001</v>
      </c>
      <c r="D31" s="14"/>
      <c r="E31" s="10">
        <f t="shared" si="1"/>
        <v>-58944.30228208669</v>
      </c>
      <c r="F31" s="135">
        <f t="shared" si="2"/>
        <v>-58944</v>
      </c>
      <c r="G31" s="9">
        <f t="shared" si="3"/>
        <v>-0.10829658999864478</v>
      </c>
      <c r="J31" s="9">
        <f>+G31</f>
        <v>-0.10829658999864478</v>
      </c>
      <c r="P31" s="9">
        <f t="shared" si="4"/>
        <v>-0.11117340417852811</v>
      </c>
      <c r="Q31" s="11">
        <f t="shared" si="5"/>
        <v>15880.899000000001</v>
      </c>
      <c r="R31">
        <f t="shared" si="6"/>
        <v>8.2760598255778295E-6</v>
      </c>
      <c r="S31">
        <v>0.1</v>
      </c>
      <c r="T31">
        <f t="shared" si="7"/>
        <v>8.2760598255778297E-7</v>
      </c>
      <c r="U31">
        <f>VLOOKUP(C31,'A (3)'!C$41:E$95,3,FALSE)</f>
        <v>-38768.700665612552</v>
      </c>
    </row>
    <row r="32" spans="1:23">
      <c r="A32" s="108" t="s">
        <v>144</v>
      </c>
      <c r="B32" s="4"/>
      <c r="C32" s="14">
        <v>31256.240000000002</v>
      </c>
      <c r="D32" s="14"/>
      <c r="E32" s="10">
        <f t="shared" si="1"/>
        <v>-57948.272378496775</v>
      </c>
      <c r="F32" s="135">
        <f t="shared" si="2"/>
        <v>-57948</v>
      </c>
      <c r="G32" s="9">
        <f t="shared" si="3"/>
        <v>-9.758322999914526E-2</v>
      </c>
      <c r="J32" s="9">
        <f>+G32</f>
        <v>-9.758322999914526E-2</v>
      </c>
      <c r="P32" s="9">
        <f t="shared" si="4"/>
        <v>-9.9118124475791103E-2</v>
      </c>
      <c r="Q32" s="11">
        <f t="shared" si="5"/>
        <v>16237.740000000002</v>
      </c>
      <c r="R32">
        <f t="shared" si="6"/>
        <v>2.3559010544379156E-6</v>
      </c>
      <c r="S32">
        <v>0.1</v>
      </c>
      <c r="T32">
        <f t="shared" si="7"/>
        <v>2.3559010544379157E-7</v>
      </c>
      <c r="U32">
        <f>VLOOKUP(C32,'A (3)'!C$41:E$95,3,FALSE)</f>
        <v>-37772.655832332217</v>
      </c>
    </row>
    <row r="33" spans="1:22">
      <c r="A33" s="108" t="s">
        <v>144</v>
      </c>
      <c r="B33" s="4"/>
      <c r="C33" s="14">
        <v>31256.425999999999</v>
      </c>
      <c r="D33" s="14"/>
      <c r="E33" s="10">
        <f t="shared" si="1"/>
        <v>-57947.753207319511</v>
      </c>
      <c r="F33" s="135">
        <f t="shared" si="2"/>
        <v>-57947.5</v>
      </c>
      <c r="G33" s="9">
        <f t="shared" si="3"/>
        <v>-9.0714900001330534E-2</v>
      </c>
      <c r="J33" s="9">
        <f>+G33</f>
        <v>-9.0714900001330534E-2</v>
      </c>
      <c r="P33" s="9">
        <f t="shared" si="4"/>
        <v>-9.9112159257291943E-2</v>
      </c>
      <c r="Q33" s="11">
        <f t="shared" si="5"/>
        <v>16237.925999999999</v>
      </c>
      <c r="R33">
        <f t="shared" si="6"/>
        <v>7.0513963011829562E-5</v>
      </c>
      <c r="S33">
        <v>0.1</v>
      </c>
      <c r="T33">
        <f t="shared" si="7"/>
        <v>7.0513963011829565E-6</v>
      </c>
      <c r="U33">
        <f>VLOOKUP(C33,'A (3)'!C$41:E$95,3,FALSE)</f>
        <v>-37772.136653372996</v>
      </c>
    </row>
    <row r="34" spans="1:22" ht="13.5" thickBot="1">
      <c r="A34" s="109" t="s">
        <v>32</v>
      </c>
      <c r="B34" s="5"/>
      <c r="C34" s="81">
        <v>32337.678</v>
      </c>
      <c r="D34" s="81"/>
      <c r="E34" s="10">
        <f t="shared" si="1"/>
        <v>-54929.716251598613</v>
      </c>
      <c r="F34">
        <f>ROUND(2*E34,0)/2</f>
        <v>-54929.5</v>
      </c>
      <c r="G34" s="9">
        <f t="shared" si="3"/>
        <v>-7.7475019999837968E-2</v>
      </c>
      <c r="I34" s="9">
        <f>+G34</f>
        <v>-7.7475019999837968E-2</v>
      </c>
      <c r="P34" s="9">
        <f t="shared" si="4"/>
        <v>-6.4689990740905423E-2</v>
      </c>
      <c r="Q34" s="11">
        <f t="shared" si="5"/>
        <v>17319.178</v>
      </c>
      <c r="R34">
        <f t="shared" si="6"/>
        <v>1.6345697315176127E-4</v>
      </c>
      <c r="S34">
        <v>0.1</v>
      </c>
      <c r="T34">
        <f t="shared" si="7"/>
        <v>1.6345697315176128E-5</v>
      </c>
      <c r="U34">
        <f>VLOOKUP(C34,'A (3)'!C$41:E$95,3,FALSE)</f>
        <v>-34754.054459695624</v>
      </c>
    </row>
    <row r="35" spans="1:22">
      <c r="A35" s="125" t="s">
        <v>178</v>
      </c>
      <c r="B35" s="126" t="s">
        <v>41</v>
      </c>
      <c r="C35" s="84">
        <v>44366.7353</v>
      </c>
      <c r="D35" s="125" t="s">
        <v>179</v>
      </c>
      <c r="E35" s="163">
        <f t="shared" si="1"/>
        <v>-21353.695607119611</v>
      </c>
      <c r="F35" s="164">
        <f t="shared" ref="F35:F42" si="8">ROUND(2*E35,0)/2-0.5</f>
        <v>-21354</v>
      </c>
      <c r="G35" s="165">
        <f t="shared" si="3"/>
        <v>0.10905281000304967</v>
      </c>
      <c r="H35" s="165"/>
      <c r="K35" s="9">
        <f t="shared" ref="K35:K42" si="9">+G35</f>
        <v>0.10905281000304967</v>
      </c>
      <c r="O35" s="9">
        <f t="shared" ref="O35:O66" ca="1" si="10">+C$11+C$12*F35</f>
        <v>0.17630160922288673</v>
      </c>
      <c r="P35" s="9">
        <f t="shared" si="4"/>
        <v>0.10463986727152097</v>
      </c>
      <c r="Q35" s="11">
        <f t="shared" si="5"/>
        <v>29348.2353</v>
      </c>
      <c r="R35">
        <f t="shared" si="6"/>
        <v>1.9474063551751999E-5</v>
      </c>
      <c r="S35">
        <v>1</v>
      </c>
      <c r="T35">
        <f t="shared" si="7"/>
        <v>1.9474063551751999E-5</v>
      </c>
      <c r="U35">
        <f>VLOOKUP(C35,'A (3)'!C$41:E$95,3,FALSE)</f>
        <v>-1177.5305375620837</v>
      </c>
      <c r="V35" s="84">
        <v>44366.7353</v>
      </c>
    </row>
    <row r="36" spans="1:22">
      <c r="A36" s="125" t="s">
        <v>178</v>
      </c>
      <c r="B36" s="126" t="s">
        <v>41</v>
      </c>
      <c r="C36" s="84">
        <v>44408.6512</v>
      </c>
      <c r="D36" s="125" t="s">
        <v>179</v>
      </c>
      <c r="E36" s="163">
        <f t="shared" si="1"/>
        <v>-21236.698149327807</v>
      </c>
      <c r="F36" s="164">
        <f t="shared" si="8"/>
        <v>-21237</v>
      </c>
      <c r="G36" s="165">
        <f t="shared" si="3"/>
        <v>0.1081420300033642</v>
      </c>
      <c r="H36" s="165"/>
      <c r="K36" s="9">
        <f t="shared" si="9"/>
        <v>0.1081420300033642</v>
      </c>
      <c r="O36" s="9">
        <f t="shared" ca="1" si="10"/>
        <v>0.17533551938133043</v>
      </c>
      <c r="P36" s="9">
        <f t="shared" si="4"/>
        <v>0.1045445445437439</v>
      </c>
      <c r="Q36" s="11">
        <f t="shared" si="5"/>
        <v>29390.1512</v>
      </c>
      <c r="R36">
        <f t="shared" si="6"/>
        <v>1.2941901632179464E-5</v>
      </c>
      <c r="S36">
        <v>1</v>
      </c>
      <c r="T36">
        <f t="shared" si="7"/>
        <v>1.2941901632179464E-5</v>
      </c>
      <c r="U36">
        <f>VLOOKUP(C36,'A (3)'!C$41:E$95,3,FALSE)</f>
        <v>-1060.5313260721064</v>
      </c>
      <c r="V36" s="84">
        <v>44408.6512</v>
      </c>
    </row>
    <row r="37" spans="1:22">
      <c r="A37" s="125" t="s">
        <v>178</v>
      </c>
      <c r="B37" s="126" t="s">
        <v>41</v>
      </c>
      <c r="C37" s="84">
        <v>44698.845500000003</v>
      </c>
      <c r="D37" s="125" t="s">
        <v>179</v>
      </c>
      <c r="E37" s="163">
        <f t="shared" si="1"/>
        <v>-20426.695373157621</v>
      </c>
      <c r="F37" s="164">
        <f t="shared" si="8"/>
        <v>-20427</v>
      </c>
      <c r="G37" s="165">
        <f t="shared" si="3"/>
        <v>0.10913663000246743</v>
      </c>
      <c r="H37" s="165"/>
      <c r="K37" s="9">
        <f t="shared" si="9"/>
        <v>0.10913663000246743</v>
      </c>
      <c r="O37" s="9">
        <f t="shared" ca="1" si="10"/>
        <v>0.16864720509363287</v>
      </c>
      <c r="P37" s="9">
        <f t="shared" si="4"/>
        <v>0.10375406719346462</v>
      </c>
      <c r="Q37" s="11">
        <f t="shared" si="5"/>
        <v>29680.345500000003</v>
      </c>
      <c r="R37">
        <f t="shared" si="6"/>
        <v>2.8971982392860143E-5</v>
      </c>
      <c r="S37">
        <v>1</v>
      </c>
      <c r="T37">
        <f t="shared" si="7"/>
        <v>2.8971982392860143E-5</v>
      </c>
      <c r="U37">
        <f>VLOOKUP(C37,'A (3)'!C$41:E$95,3,FALSE)</f>
        <v>-250.51640860913182</v>
      </c>
      <c r="V37" s="84">
        <v>44698.845500000003</v>
      </c>
    </row>
    <row r="38" spans="1:22">
      <c r="A38" s="125" t="s">
        <v>178</v>
      </c>
      <c r="B38" s="126" t="s">
        <v>39</v>
      </c>
      <c r="C38" s="84">
        <v>44787.515200000002</v>
      </c>
      <c r="D38" s="125" t="s">
        <v>179</v>
      </c>
      <c r="E38" s="163">
        <f t="shared" si="1"/>
        <v>-20179.196703603549</v>
      </c>
      <c r="F38" s="164">
        <f t="shared" si="8"/>
        <v>-20179.5</v>
      </c>
      <c r="G38" s="165">
        <f t="shared" si="3"/>
        <v>0.10865998000372201</v>
      </c>
      <c r="H38" s="165"/>
      <c r="K38" s="9">
        <f t="shared" si="9"/>
        <v>0.10865998000372201</v>
      </c>
      <c r="O38" s="9">
        <f t="shared" ca="1" si="10"/>
        <v>0.16660355350572531</v>
      </c>
      <c r="P38" s="9">
        <f t="shared" si="4"/>
        <v>0.10346702627856834</v>
      </c>
      <c r="Q38" s="11">
        <f t="shared" si="5"/>
        <v>29769.015200000002</v>
      </c>
      <c r="R38">
        <f t="shared" si="6"/>
        <v>2.6966768391587414E-5</v>
      </c>
      <c r="S38">
        <v>1</v>
      </c>
      <c r="T38">
        <f t="shared" si="7"/>
        <v>2.6966768391587414E-5</v>
      </c>
      <c r="U38">
        <f>VLOOKUP(C38,'A (3)'!C$41:E$95,3,FALSE)</f>
        <v>-3.0140292482523772</v>
      </c>
      <c r="V38" s="84">
        <v>44787.515200000002</v>
      </c>
    </row>
    <row r="39" spans="1:22">
      <c r="A39" s="125" t="s">
        <v>178</v>
      </c>
      <c r="B39" s="126" t="s">
        <v>39</v>
      </c>
      <c r="C39" s="84">
        <v>44788.59</v>
      </c>
      <c r="D39" s="125" t="s">
        <v>179</v>
      </c>
      <c r="E39" s="163">
        <f t="shared" si="1"/>
        <v>-20176.19667574696</v>
      </c>
      <c r="F39" s="164">
        <f t="shared" si="8"/>
        <v>-20176.5</v>
      </c>
      <c r="G39" s="165">
        <f t="shared" si="3"/>
        <v>0.10866995999822393</v>
      </c>
      <c r="H39" s="165"/>
      <c r="K39" s="9">
        <f t="shared" si="9"/>
        <v>0.10866995999822393</v>
      </c>
      <c r="O39" s="9">
        <f t="shared" ca="1" si="10"/>
        <v>0.16657878197132642</v>
      </c>
      <c r="P39" s="9">
        <f t="shared" si="4"/>
        <v>0.10346341633444245</v>
      </c>
      <c r="Q39" s="11">
        <f t="shared" si="5"/>
        <v>29770.089999999997</v>
      </c>
      <c r="R39">
        <f t="shared" si="6"/>
        <v>2.7108096922863099E-5</v>
      </c>
      <c r="S39">
        <v>1</v>
      </c>
      <c r="T39">
        <f t="shared" si="7"/>
        <v>2.7108096922863099E-5</v>
      </c>
      <c r="U39">
        <f>VLOOKUP(C39,'A (3)'!C$41:E$95,3,FALSE)</f>
        <v>-1.3956423648179029E-2</v>
      </c>
      <c r="V39" s="84">
        <v>44788.59</v>
      </c>
    </row>
    <row r="40" spans="1:22">
      <c r="A40" s="125" t="s">
        <v>178</v>
      </c>
      <c r="B40" s="126" t="s">
        <v>39</v>
      </c>
      <c r="C40" s="84">
        <v>44789.665099999998</v>
      </c>
      <c r="D40" s="125" t="s">
        <v>179</v>
      </c>
      <c r="E40" s="163">
        <f t="shared" si="1"/>
        <v>-20173.195810517485</v>
      </c>
      <c r="F40" s="164">
        <f t="shared" si="8"/>
        <v>-20173.5</v>
      </c>
      <c r="G40" s="165">
        <f t="shared" si="3"/>
        <v>0.10897993999969913</v>
      </c>
      <c r="H40" s="165"/>
      <c r="K40" s="9">
        <f t="shared" si="9"/>
        <v>0.10897993999969913</v>
      </c>
      <c r="O40" s="9">
        <f t="shared" ca="1" si="10"/>
        <v>0.16655401043692755</v>
      </c>
      <c r="P40" s="9">
        <f t="shared" si="4"/>
        <v>0.10345980326072834</v>
      </c>
      <c r="Q40" s="11">
        <f t="shared" si="5"/>
        <v>29771.165099999998</v>
      </c>
      <c r="R40">
        <f t="shared" si="6"/>
        <v>3.0471909616934983E-5</v>
      </c>
      <c r="S40">
        <v>1</v>
      </c>
      <c r="T40">
        <f t="shared" si="7"/>
        <v>3.0471909616934983E-5</v>
      </c>
      <c r="U40">
        <f>VLOOKUP(C40,'A (3)'!C$41:E$95,3,FALSE)</f>
        <v>2.9869537863935944</v>
      </c>
      <c r="V40" s="84">
        <v>44789.665099999998</v>
      </c>
    </row>
    <row r="41" spans="1:22">
      <c r="A41" s="125" t="s">
        <v>178</v>
      </c>
      <c r="B41" s="126" t="s">
        <v>41</v>
      </c>
      <c r="C41" s="84">
        <v>44790.560299999997</v>
      </c>
      <c r="D41" s="125" t="s">
        <v>179</v>
      </c>
      <c r="E41" s="163">
        <f t="shared" si="1"/>
        <v>-20170.697089883666</v>
      </c>
      <c r="F41" s="164">
        <f t="shared" si="8"/>
        <v>-20171</v>
      </c>
      <c r="G41" s="165">
        <f t="shared" si="3"/>
        <v>0.10852158999477979</v>
      </c>
      <c r="H41" s="165"/>
      <c r="K41" s="9">
        <f t="shared" si="9"/>
        <v>0.10852158999477979</v>
      </c>
      <c r="O41" s="9">
        <f t="shared" ca="1" si="10"/>
        <v>0.16653336749159514</v>
      </c>
      <c r="P41" s="9">
        <f t="shared" si="4"/>
        <v>0.1034567899753089</v>
      </c>
      <c r="Q41" s="11">
        <f t="shared" si="5"/>
        <v>29772.060299999997</v>
      </c>
      <c r="R41">
        <f t="shared" si="6"/>
        <v>2.5652199237232341E-5</v>
      </c>
      <c r="S41">
        <v>1</v>
      </c>
      <c r="T41">
        <f t="shared" si="7"/>
        <v>2.5652199237232341E-5</v>
      </c>
      <c r="U41">
        <f>VLOOKUP(C41,'A (3)'!C$41:E$95,3,FALSE)</f>
        <v>5.4857118740336883</v>
      </c>
      <c r="V41" s="84">
        <v>44790.560299999997</v>
      </c>
    </row>
    <row r="42" spans="1:22">
      <c r="A42" s="125" t="s">
        <v>178</v>
      </c>
      <c r="B42" s="126" t="s">
        <v>41</v>
      </c>
      <c r="C42" s="125">
        <v>44790.560299999997</v>
      </c>
      <c r="D42" s="125" t="s">
        <v>179</v>
      </c>
      <c r="E42" s="163">
        <f t="shared" si="1"/>
        <v>-20170.697089883666</v>
      </c>
      <c r="F42" s="164">
        <f t="shared" si="8"/>
        <v>-20171</v>
      </c>
      <c r="G42" s="165">
        <f t="shared" si="3"/>
        <v>0.10852158999477979</v>
      </c>
      <c r="H42" s="165"/>
      <c r="K42" s="9">
        <f t="shared" si="9"/>
        <v>0.10852158999477979</v>
      </c>
      <c r="O42" s="9">
        <f t="shared" ca="1" si="10"/>
        <v>0.16653336749159514</v>
      </c>
      <c r="P42" s="9">
        <f t="shared" si="4"/>
        <v>0.1034567899753089</v>
      </c>
      <c r="Q42" s="11">
        <f t="shared" si="5"/>
        <v>29772.060299999997</v>
      </c>
      <c r="R42">
        <f t="shared" si="6"/>
        <v>2.5652199237232341E-5</v>
      </c>
      <c r="S42">
        <v>1</v>
      </c>
      <c r="T42">
        <f t="shared" si="7"/>
        <v>2.5652199237232341E-5</v>
      </c>
      <c r="U42">
        <f>VLOOKUP(C42,'A (3)'!C$41:E$95,3,FALSE)</f>
        <v>5.4857118740336883</v>
      </c>
    </row>
    <row r="43" spans="1:22">
      <c r="A43" s="127" t="s">
        <v>156</v>
      </c>
      <c r="B43" s="128"/>
      <c r="C43" s="129">
        <v>48085.46</v>
      </c>
      <c r="D43" s="129" t="s">
        <v>181</v>
      </c>
      <c r="E43" s="163">
        <f t="shared" si="1"/>
        <v>-10973.831733802292</v>
      </c>
      <c r="F43" s="166">
        <f t="shared" ref="F43:F83" si="11">ROUND(2*E43,0)/2</f>
        <v>-10974</v>
      </c>
      <c r="G43" s="165">
        <f t="shared" si="3"/>
        <v>6.0283610000624321E-2</v>
      </c>
      <c r="H43" s="165"/>
      <c r="L43" s="9">
        <f>+G43</f>
        <v>6.0283610000624321E-2</v>
      </c>
      <c r="O43" s="9">
        <f t="shared" ca="1" si="10"/>
        <v>9.0592100202762704E-2</v>
      </c>
      <c r="P43" s="9">
        <f t="shared" si="4"/>
        <v>7.7661094438515363E-2</v>
      </c>
      <c r="Q43" s="11">
        <f t="shared" si="5"/>
        <v>33066.959999999999</v>
      </c>
      <c r="R43">
        <f t="shared" si="6"/>
        <v>3.0197696538914533E-4</v>
      </c>
      <c r="S43">
        <v>0.1</v>
      </c>
      <c r="T43">
        <f t="shared" si="7"/>
        <v>3.0197696538914534E-5</v>
      </c>
      <c r="U43">
        <f>VLOOKUP(C43,'A (3)'!C$41:E$95,3,FALSE)</f>
        <v>9202.4889216002593</v>
      </c>
    </row>
    <row r="44" spans="1:22">
      <c r="A44" s="127" t="s">
        <v>156</v>
      </c>
      <c r="B44" s="128"/>
      <c r="C44" s="129">
        <v>48094.417999999998</v>
      </c>
      <c r="D44" s="129" t="s">
        <v>181</v>
      </c>
      <c r="E44" s="163">
        <f t="shared" si="1"/>
        <v>-10948.827780006744</v>
      </c>
      <c r="F44" s="166">
        <f t="shared" si="11"/>
        <v>-10949</v>
      </c>
      <c r="G44" s="165">
        <f t="shared" si="3"/>
        <v>6.1700109996309038E-2</v>
      </c>
      <c r="H44" s="165"/>
      <c r="L44" s="9">
        <f>+G44</f>
        <v>6.1700109996309038E-2</v>
      </c>
      <c r="O44" s="9">
        <f t="shared" ca="1" si="10"/>
        <v>9.0385670749438707E-2</v>
      </c>
      <c r="P44" s="9">
        <f t="shared" si="4"/>
        <v>7.7550889765248737E-2</v>
      </c>
      <c r="Q44" s="11">
        <f t="shared" si="5"/>
        <v>33075.917999999998</v>
      </c>
      <c r="R44">
        <f t="shared" si="6"/>
        <v>2.5124721928342807E-4</v>
      </c>
      <c r="S44">
        <v>0.1</v>
      </c>
      <c r="T44">
        <f t="shared" si="7"/>
        <v>2.5124721928342809E-5</v>
      </c>
      <c r="U44">
        <f>VLOOKUP(C44,'A (3)'!C$41:E$95,3,FALSE)</f>
        <v>9227.4932501850471</v>
      </c>
    </row>
    <row r="45" spans="1:22">
      <c r="A45" s="127" t="s">
        <v>156</v>
      </c>
      <c r="B45" s="128"/>
      <c r="C45" s="129">
        <v>48122.360999999997</v>
      </c>
      <c r="D45" s="129" t="s">
        <v>181</v>
      </c>
      <c r="E45" s="163">
        <f t="shared" si="1"/>
        <v>-10870.832079972241</v>
      </c>
      <c r="F45" s="166">
        <f t="shared" si="11"/>
        <v>-10871</v>
      </c>
      <c r="G45" s="165">
        <f t="shared" si="3"/>
        <v>6.0159590000694152E-2</v>
      </c>
      <c r="H45" s="165"/>
      <c r="L45" s="9">
        <f>+G45</f>
        <v>6.0159590000694152E-2</v>
      </c>
      <c r="O45" s="9">
        <f t="shared" ca="1" si="10"/>
        <v>8.9741610855067822E-2</v>
      </c>
      <c r="P45" s="9">
        <f t="shared" si="4"/>
        <v>7.7205654345106511E-2</v>
      </c>
      <c r="Q45" s="11">
        <f t="shared" si="5"/>
        <v>33103.860999999997</v>
      </c>
      <c r="R45">
        <f t="shared" si="6"/>
        <v>2.9056830963384634E-4</v>
      </c>
      <c r="S45">
        <v>0.1</v>
      </c>
      <c r="T45">
        <f t="shared" si="7"/>
        <v>2.9056830963384637E-5</v>
      </c>
      <c r="U45">
        <f>VLOOKUP(C45,'A (3)'!C$41:E$95,3,FALSE)</f>
        <v>9305.490119312617</v>
      </c>
    </row>
    <row r="46" spans="1:22">
      <c r="A46" s="130" t="s">
        <v>184</v>
      </c>
      <c r="B46" s="131" t="s">
        <v>41</v>
      </c>
      <c r="C46" s="132">
        <v>48500.337</v>
      </c>
      <c r="D46" s="132">
        <v>1E-4</v>
      </c>
      <c r="E46" s="163">
        <f t="shared" si="1"/>
        <v>-9815.8092579330041</v>
      </c>
      <c r="F46" s="166">
        <f t="shared" si="11"/>
        <v>-9816</v>
      </c>
      <c r="G46" s="165">
        <f t="shared" si="3"/>
        <v>6.8335889998706989E-2</v>
      </c>
      <c r="H46" s="165"/>
      <c r="N46" s="9">
        <f>+G46</f>
        <v>6.8335889998706989E-2</v>
      </c>
      <c r="O46" s="9">
        <f t="shared" ca="1" si="10"/>
        <v>8.1030287924795108E-2</v>
      </c>
      <c r="P46" s="9">
        <f t="shared" si="4"/>
        <v>7.2328299329311035E-2</v>
      </c>
      <c r="Q46" s="11">
        <f t="shared" si="5"/>
        <v>33481.837</v>
      </c>
      <c r="R46">
        <f t="shared" si="6"/>
        <v>1.593933226309425E-5</v>
      </c>
      <c r="S46">
        <v>1</v>
      </c>
      <c r="T46">
        <f t="shared" si="7"/>
        <v>1.593933226309425E-5</v>
      </c>
      <c r="U46">
        <f>VLOOKUP(C46,'A (3)'!C$41:E$95,3,FALSE)</f>
        <v>10360.528755298867</v>
      </c>
    </row>
    <row r="47" spans="1:22">
      <c r="A47" s="130" t="s">
        <v>42</v>
      </c>
      <c r="B47" s="131" t="s">
        <v>39</v>
      </c>
      <c r="C47" s="132">
        <v>51314.614999999998</v>
      </c>
      <c r="D47" s="132">
        <v>2E-3</v>
      </c>
      <c r="E47" s="163">
        <f t="shared" si="1"/>
        <v>-1960.4758040551992</v>
      </c>
      <c r="F47" s="166">
        <f t="shared" si="11"/>
        <v>-1960.5</v>
      </c>
      <c r="G47" s="165">
        <f t="shared" si="3"/>
        <v>8.6685200003557838E-3</v>
      </c>
      <c r="H47" s="165"/>
      <c r="N47" s="9">
        <f>+G47</f>
        <v>8.6685200003557838E-3</v>
      </c>
      <c r="O47" s="9">
        <f t="shared" ca="1" si="10"/>
        <v>1.6166025101328394E-2</v>
      </c>
      <c r="P47" s="9">
        <f t="shared" si="4"/>
        <v>2.3841651871041245E-2</v>
      </c>
      <c r="Q47" s="11">
        <f t="shared" si="5"/>
        <v>36296.114999999998</v>
      </c>
      <c r="R47">
        <f t="shared" si="6"/>
        <v>2.3022393076521086E-4</v>
      </c>
      <c r="S47">
        <v>0.4</v>
      </c>
      <c r="T47">
        <f t="shared" si="7"/>
        <v>9.2089572306084351E-5</v>
      </c>
      <c r="U47">
        <f>VLOOKUP(C47,'A (3)'!C$41:E$95,3,FALSE)</f>
        <v>18215.979954332899</v>
      </c>
    </row>
    <row r="48" spans="1:22">
      <c r="A48" t="s">
        <v>42</v>
      </c>
      <c r="B48" s="4" t="s">
        <v>39</v>
      </c>
      <c r="C48" s="14">
        <v>51338.803819784996</v>
      </c>
      <c r="D48" s="14"/>
      <c r="E48" s="163">
        <f t="shared" si="1"/>
        <v>-1892.9589328481186</v>
      </c>
      <c r="F48" s="166">
        <f t="shared" si="11"/>
        <v>-1893</v>
      </c>
      <c r="G48" s="165">
        <f t="shared" si="3"/>
        <v>1.4712854994286317E-2</v>
      </c>
      <c r="H48" s="165"/>
      <c r="N48" s="9">
        <f>G48</f>
        <v>1.4712854994286317E-2</v>
      </c>
      <c r="O48" s="9">
        <f t="shared" ca="1" si="10"/>
        <v>1.56086655773536E-2</v>
      </c>
      <c r="P48" s="9">
        <f t="shared" si="4"/>
        <v>2.3332036398200973E-2</v>
      </c>
      <c r="Q48" s="11">
        <f t="shared" si="5"/>
        <v>36320.303819784996</v>
      </c>
      <c r="R48">
        <f t="shared" si="6"/>
        <v>7.4290288073588213E-5</v>
      </c>
      <c r="S48">
        <v>0.1</v>
      </c>
      <c r="T48">
        <f t="shared" si="7"/>
        <v>7.4290288073588213E-6</v>
      </c>
      <c r="U48">
        <f>VLOOKUP(C48,'A (3)'!C$41:E$95,3,FALSE)</f>
        <v>18283.497837563798</v>
      </c>
    </row>
    <row r="49" spans="1:23">
      <c r="A49" s="130" t="s">
        <v>42</v>
      </c>
      <c r="B49" s="131" t="s">
        <v>39</v>
      </c>
      <c r="C49" s="132">
        <v>51615.201000000001</v>
      </c>
      <c r="D49" s="132">
        <v>2E-3</v>
      </c>
      <c r="E49" s="10">
        <f t="shared" si="1"/>
        <v>-1121.4672691601609</v>
      </c>
      <c r="F49">
        <f t="shared" si="11"/>
        <v>-1121.5</v>
      </c>
      <c r="G49" s="9">
        <f t="shared" si="3"/>
        <v>1.1726260003342759E-2</v>
      </c>
      <c r="N49" s="9">
        <f>+G49</f>
        <v>1.1726260003342759E-2</v>
      </c>
      <c r="O49" s="9">
        <f t="shared" ca="1" si="10"/>
        <v>9.2382526477750165E-3</v>
      </c>
      <c r="P49" s="9">
        <f t="shared" si="4"/>
        <v>1.7394778819197421E-2</v>
      </c>
      <c r="Q49" s="11">
        <f t="shared" si="5"/>
        <v>36596.701000000001</v>
      </c>
      <c r="R49">
        <f t="shared" si="6"/>
        <v>3.2132105565698344E-5</v>
      </c>
      <c r="S49">
        <v>0.4</v>
      </c>
      <c r="T49">
        <f t="shared" si="7"/>
        <v>1.2852842226279338E-5</v>
      </c>
      <c r="U49">
        <f>VLOOKUP(C49,'A (3)'!C$41:E$95,3,FALSE)</f>
        <v>19055.001065293818</v>
      </c>
    </row>
    <row r="50" spans="1:23">
      <c r="A50" s="77" t="s">
        <v>38</v>
      </c>
      <c r="B50" s="74" t="s">
        <v>39</v>
      </c>
      <c r="C50" s="78">
        <v>52016.981609549999</v>
      </c>
      <c r="D50" s="78"/>
      <c r="E50" s="10">
        <f t="shared" si="1"/>
        <v>0</v>
      </c>
      <c r="F50">
        <f t="shared" si="11"/>
        <v>0</v>
      </c>
      <c r="G50" s="9">
        <f t="shared" si="3"/>
        <v>0</v>
      </c>
      <c r="N50" s="9">
        <f>G50</f>
        <v>0</v>
      </c>
      <c r="O50" s="9">
        <f t="shared" ca="1" si="10"/>
        <v>-2.2172628339540978E-5</v>
      </c>
      <c r="P50" s="9">
        <f t="shared" si="4"/>
        <v>8.3948974263195648E-3</v>
      </c>
      <c r="Q50" s="11">
        <f t="shared" si="5"/>
        <v>36998.481609549999</v>
      </c>
      <c r="R50">
        <f t="shared" si="6"/>
        <v>7.0474302798426852E-5</v>
      </c>
      <c r="S50">
        <v>0.1</v>
      </c>
      <c r="T50">
        <f t="shared" si="7"/>
        <v>7.0474302798426859E-6</v>
      </c>
      <c r="U50">
        <f>VLOOKUP(C50,'A (3)'!C$41:E$95,3,FALSE)</f>
        <v>20176.48514435003</v>
      </c>
    </row>
    <row r="51" spans="1:23">
      <c r="A51" s="130" t="s">
        <v>38</v>
      </c>
      <c r="B51" s="131" t="s">
        <v>39</v>
      </c>
      <c r="C51" s="132">
        <v>52034.711000000003</v>
      </c>
      <c r="D51" s="132">
        <v>3.0000000000000001E-3</v>
      </c>
      <c r="E51" s="10">
        <f t="shared" si="1"/>
        <v>49.487035011742613</v>
      </c>
      <c r="F51">
        <f t="shared" si="11"/>
        <v>49.5</v>
      </c>
      <c r="G51" s="9">
        <f t="shared" si="3"/>
        <v>-4.6448799985228106E-3</v>
      </c>
      <c r="N51" s="9">
        <f>+G51</f>
        <v>-4.6448799985228106E-3</v>
      </c>
      <c r="O51" s="9">
        <f t="shared" ca="1" si="10"/>
        <v>-4.3090294592105735E-4</v>
      </c>
      <c r="P51" s="9">
        <f t="shared" si="4"/>
        <v>7.9875887599445503E-3</v>
      </c>
      <c r="Q51" s="11">
        <f t="shared" si="5"/>
        <v>37016.211000000003</v>
      </c>
      <c r="R51">
        <f t="shared" si="6"/>
        <v>1.5957926693365392E-4</v>
      </c>
      <c r="S51">
        <v>0.4</v>
      </c>
      <c r="T51">
        <f t="shared" si="7"/>
        <v>6.3831706773461567E-5</v>
      </c>
      <c r="U51">
        <f>VLOOKUP(C51,'A (3)'!C$41:E$95,3,FALSE)</f>
        <v>20225.972921132787</v>
      </c>
    </row>
    <row r="52" spans="1:23">
      <c r="A52" s="130" t="s">
        <v>38</v>
      </c>
      <c r="B52" s="131" t="s">
        <v>39</v>
      </c>
      <c r="C52" s="132">
        <v>52475.012000000002</v>
      </c>
      <c r="D52" s="132">
        <v>2E-3</v>
      </c>
      <c r="E52" s="10">
        <f t="shared" si="1"/>
        <v>1278.4740700792979</v>
      </c>
      <c r="F52">
        <f t="shared" si="11"/>
        <v>1278.5</v>
      </c>
      <c r="G52" s="9">
        <f t="shared" si="3"/>
        <v>-9.2897399954381399E-3</v>
      </c>
      <c r="N52" s="9">
        <f>+G52</f>
        <v>-9.2897399954381399E-3</v>
      </c>
      <c r="O52" s="9">
        <f t="shared" ca="1" si="10"/>
        <v>-1.0578974871328807E-2</v>
      </c>
      <c r="P52" s="9">
        <f t="shared" si="4"/>
        <v>-2.3983775879766662E-3</v>
      </c>
      <c r="Q52" s="11">
        <f t="shared" si="5"/>
        <v>37456.512000000002</v>
      </c>
      <c r="R52">
        <f t="shared" si="6"/>
        <v>4.7490875830973204E-5</v>
      </c>
      <c r="S52">
        <v>0.4</v>
      </c>
      <c r="T52">
        <f t="shared" si="7"/>
        <v>1.8996350332389284E-5</v>
      </c>
      <c r="U52">
        <f>VLOOKUP(C52,'A (3)'!C$41:E$95,3,FALSE)</f>
        <v>21454.978377731561</v>
      </c>
    </row>
    <row r="53" spans="1:23">
      <c r="A53" s="28" t="s">
        <v>124</v>
      </c>
      <c r="B53" s="74" t="s">
        <v>39</v>
      </c>
      <c r="C53" s="79">
        <v>52725.434500000003</v>
      </c>
      <c r="D53" s="79">
        <v>1E-4</v>
      </c>
      <c r="E53" s="10">
        <f t="shared" ref="E53:E87" si="12">+(C53-C$7)/C$8</f>
        <v>1977.4640923349957</v>
      </c>
      <c r="F53">
        <f t="shared" si="11"/>
        <v>1977.5</v>
      </c>
      <c r="G53" s="9">
        <f t="shared" ref="G53:G84" si="13">+C53-(C$7+F53*C$8)</f>
        <v>-1.2864399992395192E-2</v>
      </c>
      <c r="N53" s="9">
        <f t="shared" ref="N53:N59" si="14">G53</f>
        <v>-1.2864399992395192E-2</v>
      </c>
      <c r="O53" s="9">
        <f t="shared" ca="1" si="10"/>
        <v>-1.6350742386267797E-2</v>
      </c>
      <c r="P53" s="9">
        <f t="shared" ref="P53:P87" si="15">+D$11+D$12*F53+D$13*F53^2</f>
        <v>-8.5397631233111431E-3</v>
      </c>
      <c r="Q53" s="11">
        <f t="shared" ref="Q53:Q87" si="16">+C53-15018.5</f>
        <v>37706.934500000003</v>
      </c>
      <c r="R53">
        <f t="shared" ref="R53:R87" si="17">+(P53-G53)^2</f>
        <v>1.8702484049441088E-5</v>
      </c>
      <c r="S53">
        <v>1</v>
      </c>
      <c r="T53">
        <f t="shared" ref="T53:T84" si="18">S53*R53</f>
        <v>1.8702484049441088E-5</v>
      </c>
      <c r="U53">
        <f>VLOOKUP(C53,'A (3)'!C$41:E$95,3,FALSE)</f>
        <v>22153.978877287787</v>
      </c>
    </row>
    <row r="54" spans="1:23">
      <c r="A54" s="28" t="s">
        <v>124</v>
      </c>
      <c r="B54" s="74" t="s">
        <v>41</v>
      </c>
      <c r="C54" s="79">
        <v>52725.613499999999</v>
      </c>
      <c r="D54" s="79">
        <v>2.0000000000000001E-4</v>
      </c>
      <c r="E54" s="10">
        <f t="shared" si="12"/>
        <v>1977.9637248120346</v>
      </c>
      <c r="F54">
        <f t="shared" si="11"/>
        <v>1978</v>
      </c>
      <c r="G54" s="9">
        <f t="shared" si="13"/>
        <v>-1.2996069999644533E-2</v>
      </c>
      <c r="N54" s="9">
        <f t="shared" si="14"/>
        <v>-1.2996069999644533E-2</v>
      </c>
      <c r="O54" s="9">
        <f t="shared" ca="1" si="10"/>
        <v>-1.6354870975334276E-2</v>
      </c>
      <c r="P54" s="9">
        <f t="shared" si="15"/>
        <v>-8.5442169125882813E-3</v>
      </c>
      <c r="Q54" s="11">
        <f t="shared" si="16"/>
        <v>37707.113499999999</v>
      </c>
      <c r="R54">
        <f t="shared" si="17"/>
        <v>1.9818995908732278E-5</v>
      </c>
      <c r="S54">
        <v>1</v>
      </c>
      <c r="T54">
        <f t="shared" si="18"/>
        <v>1.9818995908732278E-5</v>
      </c>
      <c r="U54">
        <f>VLOOKUP(C54,'A (3)'!C$41:E$95,3,FALSE)</f>
        <v>22154.47851725392</v>
      </c>
    </row>
    <row r="55" spans="1:23">
      <c r="A55" s="28" t="s">
        <v>124</v>
      </c>
      <c r="B55" s="74" t="s">
        <v>39</v>
      </c>
      <c r="C55" s="79">
        <v>52726.509700000002</v>
      </c>
      <c r="D55" s="79">
        <v>1E-4</v>
      </c>
      <c r="E55" s="10">
        <f t="shared" si="12"/>
        <v>1980.4652366887531</v>
      </c>
      <c r="F55">
        <f t="shared" si="11"/>
        <v>1980.5</v>
      </c>
      <c r="G55" s="9">
        <f t="shared" si="13"/>
        <v>-1.2454419993446209E-2</v>
      </c>
      <c r="N55" s="9">
        <f t="shared" si="14"/>
        <v>-1.2454419993446209E-2</v>
      </c>
      <c r="O55" s="9">
        <f t="shared" ca="1" si="10"/>
        <v>-1.6375513920666676E-2</v>
      </c>
      <c r="P55" s="9">
        <f t="shared" si="15"/>
        <v>-8.5664871629690786E-3</v>
      </c>
      <c r="Q55" s="11">
        <f t="shared" si="16"/>
        <v>37708.009700000002</v>
      </c>
      <c r="R55">
        <f t="shared" si="17"/>
        <v>1.5116021694301907E-5</v>
      </c>
      <c r="S55">
        <v>1</v>
      </c>
      <c r="T55">
        <f t="shared" si="18"/>
        <v>1.5116021694301907E-5</v>
      </c>
      <c r="U55">
        <f>VLOOKUP(C55,'A (3)'!C$41:E$95,3,FALSE)</f>
        <v>22156.980066626296</v>
      </c>
    </row>
    <row r="56" spans="1:23">
      <c r="A56" s="28" t="s">
        <v>124</v>
      </c>
      <c r="B56" s="74" t="s">
        <v>41</v>
      </c>
      <c r="C56" s="79">
        <v>52727.404699999999</v>
      </c>
      <c r="D56" s="79"/>
      <c r="E56" s="10">
        <f t="shared" si="12"/>
        <v>1982.9633990739885</v>
      </c>
      <c r="F56">
        <f t="shared" si="11"/>
        <v>1983</v>
      </c>
      <c r="G56" s="9">
        <f t="shared" si="13"/>
        <v>-1.311277000058908E-2</v>
      </c>
      <c r="N56" s="9">
        <f t="shared" si="14"/>
        <v>-1.311277000058908E-2</v>
      </c>
      <c r="O56" s="9">
        <f t="shared" ca="1" si="10"/>
        <v>-1.6396156865999077E-2</v>
      </c>
      <c r="P56" s="9">
        <f t="shared" si="15"/>
        <v>-8.5887595866750415E-3</v>
      </c>
      <c r="Q56" s="11">
        <f t="shared" si="16"/>
        <v>37708.904699999999</v>
      </c>
      <c r="R56">
        <f t="shared" si="17"/>
        <v>2.0466670225202672E-5</v>
      </c>
      <c r="S56">
        <v>1</v>
      </c>
      <c r="T56">
        <f t="shared" si="18"/>
        <v>2.0466670225202672E-5</v>
      </c>
      <c r="U56">
        <f>VLOOKUP(C56,'A (3)'!C$41:E$95,3,FALSE)</f>
        <v>22159.478266456983</v>
      </c>
    </row>
    <row r="57" spans="1:23">
      <c r="A57" s="28" t="s">
        <v>124</v>
      </c>
      <c r="B57" s="74" t="s">
        <v>41</v>
      </c>
      <c r="C57" s="79">
        <v>52727.404999999999</v>
      </c>
      <c r="D57" s="79">
        <v>2.0000000000000001E-4</v>
      </c>
      <c r="E57" s="10">
        <f t="shared" si="12"/>
        <v>1982.9642364468543</v>
      </c>
      <c r="F57">
        <f t="shared" si="11"/>
        <v>1983</v>
      </c>
      <c r="G57" s="9">
        <f t="shared" si="13"/>
        <v>-1.281277000089176E-2</v>
      </c>
      <c r="N57" s="9">
        <f t="shared" si="14"/>
        <v>-1.281277000089176E-2</v>
      </c>
      <c r="O57" s="9">
        <f t="shared" ca="1" si="10"/>
        <v>-1.6396156865999077E-2</v>
      </c>
      <c r="P57" s="9">
        <f t="shared" si="15"/>
        <v>-8.5887595866750415E-3</v>
      </c>
      <c r="Q57" s="11">
        <f t="shared" si="16"/>
        <v>37708.904999999999</v>
      </c>
      <c r="R57">
        <f t="shared" si="17"/>
        <v>1.7842263979411294E-5</v>
      </c>
      <c r="S57">
        <v>1</v>
      </c>
      <c r="T57">
        <f t="shared" si="18"/>
        <v>1.7842263979411294E-5</v>
      </c>
      <c r="U57">
        <f>VLOOKUP(C57,'A (3)'!C$41:E$95,3,FALSE)</f>
        <v>22159.479103842401</v>
      </c>
    </row>
    <row r="58" spans="1:23">
      <c r="A58" s="28" t="s">
        <v>124</v>
      </c>
      <c r="B58" s="74" t="s">
        <v>39</v>
      </c>
      <c r="C58" s="79">
        <v>52727.584699999999</v>
      </c>
      <c r="D58" s="79">
        <v>2.9999999999999997E-4</v>
      </c>
      <c r="E58" s="10">
        <f t="shared" si="12"/>
        <v>1983.4658227939267</v>
      </c>
      <c r="F58">
        <f t="shared" si="11"/>
        <v>1983.5</v>
      </c>
      <c r="G58" s="9">
        <f t="shared" si="13"/>
        <v>-1.2244439996720757E-2</v>
      </c>
      <c r="N58" s="9">
        <f t="shared" si="14"/>
        <v>-1.2244439996720757E-2</v>
      </c>
      <c r="O58" s="9">
        <f t="shared" ca="1" si="10"/>
        <v>-1.6400285455065555E-2</v>
      </c>
      <c r="P58" s="9">
        <f t="shared" si="15"/>
        <v>-8.5932143322152519E-3</v>
      </c>
      <c r="Q58" s="11">
        <f t="shared" si="16"/>
        <v>37709.084699999999</v>
      </c>
      <c r="R58">
        <f t="shared" si="17"/>
        <v>1.333144885314367E-5</v>
      </c>
      <c r="S58">
        <v>1</v>
      </c>
      <c r="T58">
        <f t="shared" si="18"/>
        <v>1.333144885314367E-5</v>
      </c>
      <c r="U58">
        <f>VLOOKUP(C58,'A (3)'!C$41:E$95,3,FALSE)</f>
        <v>22159.980697707852</v>
      </c>
    </row>
    <row r="59" spans="1:23">
      <c r="A59" s="28" t="s">
        <v>124</v>
      </c>
      <c r="B59" s="74" t="s">
        <v>41</v>
      </c>
      <c r="C59" s="79">
        <v>52730.630400000002</v>
      </c>
      <c r="D59" s="79">
        <v>4.0000000000000002E-4</v>
      </c>
      <c r="E59" s="10">
        <f t="shared" si="12"/>
        <v>1991.9671112595634</v>
      </c>
      <c r="F59">
        <f t="shared" si="11"/>
        <v>1992</v>
      </c>
      <c r="G59" s="9">
        <f t="shared" si="13"/>
        <v>-1.1782829998992383E-2</v>
      </c>
      <c r="N59" s="9">
        <f t="shared" si="14"/>
        <v>-1.1782829998992383E-2</v>
      </c>
      <c r="O59" s="9">
        <f t="shared" ca="1" si="10"/>
        <v>-1.6470471469195714E-2</v>
      </c>
      <c r="P59" s="9">
        <f t="shared" si="15"/>
        <v>-8.6689583071488698E-3</v>
      </c>
      <c r="Q59" s="11">
        <f t="shared" si="16"/>
        <v>37712.130400000002</v>
      </c>
      <c r="R59">
        <f t="shared" si="17"/>
        <v>9.6961969132643858E-6</v>
      </c>
      <c r="S59">
        <v>1</v>
      </c>
      <c r="T59">
        <f t="shared" si="18"/>
        <v>9.6961969132643858E-6</v>
      </c>
      <c r="U59">
        <f>VLOOKUP(C59,'A (3)'!C$41:E$95,3,FALSE)</f>
        <v>22168.482113600992</v>
      </c>
    </row>
    <row r="60" spans="1:23">
      <c r="A60" s="130" t="s">
        <v>38</v>
      </c>
      <c r="B60" s="131" t="s">
        <v>39</v>
      </c>
      <c r="C60" s="132">
        <v>52773.798999999999</v>
      </c>
      <c r="D60" s="132">
        <v>2E-3</v>
      </c>
      <c r="E60" s="10">
        <f t="shared" si="12"/>
        <v>2112.4611590178329</v>
      </c>
      <c r="F60">
        <f t="shared" si="11"/>
        <v>2112.5</v>
      </c>
      <c r="G60" s="9">
        <f t="shared" si="13"/>
        <v>-1.3915299998188857E-2</v>
      </c>
      <c r="N60" s="9">
        <f>+G60</f>
        <v>-1.3915299998188857E-2</v>
      </c>
      <c r="O60" s="9">
        <f t="shared" ca="1" si="10"/>
        <v>-1.7465461434217386E-2</v>
      </c>
      <c r="P60" s="9">
        <f t="shared" si="15"/>
        <v>-9.7454432002741682E-3</v>
      </c>
      <c r="Q60" s="11">
        <f t="shared" si="16"/>
        <v>37755.298999999999</v>
      </c>
      <c r="R60">
        <f t="shared" si="17"/>
        <v>1.7387705715115341E-5</v>
      </c>
      <c r="S60">
        <v>0.4</v>
      </c>
      <c r="T60">
        <f t="shared" si="18"/>
        <v>6.9550822860461371E-6</v>
      </c>
      <c r="U60">
        <f>VLOOKUP(C60,'A (3)'!C$41:E$95,3,FALSE)</f>
        <v>22288.97796746852</v>
      </c>
    </row>
    <row r="61" spans="1:23">
      <c r="A61" s="130" t="s">
        <v>38</v>
      </c>
      <c r="B61" s="131" t="s">
        <v>39</v>
      </c>
      <c r="C61" s="132">
        <v>53132.762999999999</v>
      </c>
      <c r="D61" s="132">
        <v>3.0000000000000001E-3</v>
      </c>
      <c r="E61" s="10">
        <f t="shared" si="12"/>
        <v>3114.4168712601181</v>
      </c>
      <c r="F61">
        <f t="shared" si="11"/>
        <v>3114.5</v>
      </c>
      <c r="G61" s="9">
        <f t="shared" si="13"/>
        <v>-2.9781980003463104E-2</v>
      </c>
      <c r="N61" s="9">
        <f>+G61</f>
        <v>-2.9781980003463104E-2</v>
      </c>
      <c r="O61" s="9">
        <f t="shared" ca="1" si="10"/>
        <v>-2.5739153923443232E-2</v>
      </c>
      <c r="P61" s="9">
        <f t="shared" si="15"/>
        <v>-1.8892349688766939E-2</v>
      </c>
      <c r="Q61" s="11">
        <f t="shared" si="16"/>
        <v>38114.262999999999</v>
      </c>
      <c r="R61">
        <f t="shared" si="17"/>
        <v>1.1858404839074972E-4</v>
      </c>
      <c r="S61">
        <v>0.4</v>
      </c>
      <c r="T61">
        <f t="shared" si="18"/>
        <v>4.7433619356299887E-5</v>
      </c>
      <c r="U61">
        <f>VLOOKUP(C61,'A (3)'!C$41:E$95,3,FALSE)</f>
        <v>23290.948698224351</v>
      </c>
    </row>
    <row r="62" spans="1:23">
      <c r="A62" s="35" t="s">
        <v>157</v>
      </c>
      <c r="B62" s="114" t="s">
        <v>39</v>
      </c>
      <c r="C62" s="86">
        <v>53189.010199999997</v>
      </c>
      <c r="D62" s="86"/>
      <c r="E62" s="115">
        <f t="shared" si="12"/>
        <v>3271.4164682604642</v>
      </c>
      <c r="F62" s="116">
        <f t="shared" si="11"/>
        <v>3271.5</v>
      </c>
      <c r="G62" s="117">
        <f t="shared" si="13"/>
        <v>-2.9926360002718866E-2</v>
      </c>
      <c r="N62" s="9">
        <f>G62</f>
        <v>-2.9926360002718866E-2</v>
      </c>
      <c r="O62" s="9">
        <f t="shared" ca="1" si="10"/>
        <v>-2.7035530890317939E-2</v>
      </c>
      <c r="P62" s="9">
        <f t="shared" si="15"/>
        <v>-2.035718479298167E-2</v>
      </c>
      <c r="Q62" s="11">
        <f t="shared" si="16"/>
        <v>38170.510199999997</v>
      </c>
      <c r="R62">
        <f t="shared" si="17"/>
        <v>9.1569114194648899E-5</v>
      </c>
      <c r="S62">
        <v>1</v>
      </c>
      <c r="T62">
        <f t="shared" si="18"/>
        <v>9.1569114194648899E-5</v>
      </c>
      <c r="U62">
        <f>VLOOKUP(C62,'A (3)'!C$41:E$95,3,FALSE)</f>
        <v>23447.950648522896</v>
      </c>
      <c r="W62" t="s">
        <v>158</v>
      </c>
    </row>
    <row r="63" spans="1:23">
      <c r="A63" s="35" t="s">
        <v>157</v>
      </c>
      <c r="B63" s="114"/>
      <c r="C63" s="86">
        <v>53190.977599999998</v>
      </c>
      <c r="D63" s="86"/>
      <c r="E63" s="115">
        <f t="shared" si="12"/>
        <v>3276.9079595193839</v>
      </c>
      <c r="F63" s="116">
        <f t="shared" si="11"/>
        <v>3277</v>
      </c>
      <c r="G63" s="117">
        <f t="shared" si="13"/>
        <v>-3.2974729998386465E-2</v>
      </c>
      <c r="N63" s="9">
        <f>G63</f>
        <v>-3.2974729998386465E-2</v>
      </c>
      <c r="O63" s="9">
        <f t="shared" ca="1" si="10"/>
        <v>-2.7080945370049219E-2</v>
      </c>
      <c r="P63" s="9">
        <f t="shared" si="15"/>
        <v>-2.0408656065178016E-2</v>
      </c>
      <c r="Q63" s="11">
        <f t="shared" si="16"/>
        <v>38172.477599999998</v>
      </c>
      <c r="R63">
        <f t="shared" si="17"/>
        <v>1.5790621409486085E-4</v>
      </c>
      <c r="S63">
        <v>1</v>
      </c>
      <c r="T63">
        <f t="shared" si="18"/>
        <v>1.5790621409486085E-4</v>
      </c>
      <c r="U63">
        <f>VLOOKUP(C63,'A (3)'!C$41:E$95,3,FALSE)</f>
        <v>23453.442222094873</v>
      </c>
      <c r="W63" t="s">
        <v>158</v>
      </c>
    </row>
    <row r="64" spans="1:23">
      <c r="A64" s="28" t="s">
        <v>124</v>
      </c>
      <c r="B64" s="74" t="s">
        <v>41</v>
      </c>
      <c r="C64" s="79">
        <v>53438.895199999999</v>
      </c>
      <c r="D64" s="79">
        <v>2.9999999999999997E-4</v>
      </c>
      <c r="E64" s="10">
        <f t="shared" si="12"/>
        <v>3968.9061974635752</v>
      </c>
      <c r="F64">
        <f t="shared" si="11"/>
        <v>3969</v>
      </c>
      <c r="G64" s="9">
        <f t="shared" si="13"/>
        <v>-3.3606010001676623E-2</v>
      </c>
      <c r="N64" s="9">
        <f>G64</f>
        <v>-3.3606010001676623E-2</v>
      </c>
      <c r="O64" s="9">
        <f t="shared" ca="1" si="10"/>
        <v>-3.2794912638057491E-2</v>
      </c>
      <c r="P64" s="9">
        <f t="shared" si="15"/>
        <v>-2.6968597857401185E-2</v>
      </c>
      <c r="Q64" s="11">
        <f t="shared" si="16"/>
        <v>38420.395199999999</v>
      </c>
      <c r="R64">
        <f t="shared" si="17"/>
        <v>4.4055239972975062E-5</v>
      </c>
      <c r="S64">
        <v>1</v>
      </c>
      <c r="T64">
        <f t="shared" si="18"/>
        <v>4.4055239972975062E-5</v>
      </c>
      <c r="U64">
        <f>VLOOKUP(C64,'A (3)'!C$41:E$95,3,FALSE)</f>
        <v>24145.450832538347</v>
      </c>
    </row>
    <row r="65" spans="1:21">
      <c r="A65" s="28" t="s">
        <v>47</v>
      </c>
      <c r="B65" s="29" t="s">
        <v>39</v>
      </c>
      <c r="C65" s="30">
        <v>53450.538699999997</v>
      </c>
      <c r="D65" s="31">
        <v>4.0000000000000002E-4</v>
      </c>
      <c r="E65" s="10">
        <f t="shared" si="12"/>
        <v>4001.4060340362994</v>
      </c>
      <c r="F65">
        <f t="shared" si="11"/>
        <v>4001.5</v>
      </c>
      <c r="G65" s="9">
        <f t="shared" si="13"/>
        <v>-3.3664560003671795E-2</v>
      </c>
      <c r="K65" s="9">
        <f>+G65</f>
        <v>-3.3664560003671795E-2</v>
      </c>
      <c r="O65" s="9">
        <f t="shared" ca="1" si="10"/>
        <v>-3.3063270927378687E-2</v>
      </c>
      <c r="P65" s="9">
        <f t="shared" si="15"/>
        <v>-2.728078150181781E-2</v>
      </c>
      <c r="Q65" s="11">
        <f t="shared" si="16"/>
        <v>38432.038699999997</v>
      </c>
      <c r="R65">
        <f t="shared" si="17"/>
        <v>4.0752627960733108E-5</v>
      </c>
      <c r="S65">
        <v>1</v>
      </c>
      <c r="T65">
        <f t="shared" si="18"/>
        <v>4.0752627960733108E-5</v>
      </c>
      <c r="U65">
        <f>VLOOKUP(C65,'A (3)'!C$41:E$95,3,FALSE)</f>
        <v>24177.95115625759</v>
      </c>
    </row>
    <row r="66" spans="1:21">
      <c r="A66" s="28" t="s">
        <v>49</v>
      </c>
      <c r="B66" s="74" t="s">
        <v>41</v>
      </c>
      <c r="C66" s="75">
        <v>53509.829700000002</v>
      </c>
      <c r="D66" s="75">
        <v>5.9999999999999995E-4</v>
      </c>
      <c r="E66" s="10">
        <f t="shared" si="12"/>
        <v>4166.9016161408053</v>
      </c>
      <c r="F66">
        <f t="shared" si="11"/>
        <v>4167</v>
      </c>
      <c r="G66" s="9">
        <f t="shared" si="13"/>
        <v>-3.5247329993580934E-2</v>
      </c>
      <c r="K66" s="9">
        <f>+G66</f>
        <v>-3.5247329993580934E-2</v>
      </c>
      <c r="O66" s="9">
        <f t="shared" ca="1" si="10"/>
        <v>-3.4429833908383556E-2</v>
      </c>
      <c r="P66" s="9">
        <f t="shared" si="15"/>
        <v>-2.8876214091081074E-2</v>
      </c>
      <c r="Q66" s="11">
        <f t="shared" si="16"/>
        <v>38491.329700000002</v>
      </c>
      <c r="R66">
        <f t="shared" si="17"/>
        <v>4.0591117843086599E-5</v>
      </c>
      <c r="S66">
        <v>1</v>
      </c>
      <c r="T66">
        <f t="shared" si="18"/>
        <v>4.0591117843086599E-5</v>
      </c>
      <c r="U66">
        <f>VLOOKUP(C66,'A (3)'!C$41:E$95,3,FALSE)</f>
        <v>24343.449219008307</v>
      </c>
    </row>
    <row r="67" spans="1:21">
      <c r="A67" s="28" t="s">
        <v>49</v>
      </c>
      <c r="B67" s="74" t="s">
        <v>41</v>
      </c>
      <c r="C67" s="75">
        <v>53511.6204</v>
      </c>
      <c r="D67" s="75">
        <v>1E-3</v>
      </c>
      <c r="E67" s="10">
        <f t="shared" si="12"/>
        <v>4171.8998947813097</v>
      </c>
      <c r="F67">
        <f t="shared" si="11"/>
        <v>4172</v>
      </c>
      <c r="G67" s="9">
        <f t="shared" si="13"/>
        <v>-3.5864029996446334E-2</v>
      </c>
      <c r="K67" s="9">
        <f>+G67</f>
        <v>-3.5864029996446334E-2</v>
      </c>
      <c r="O67" s="9">
        <f t="shared" ref="O67:O87" ca="1" si="19">+C$11+C$12*F67</f>
        <v>-3.4471119799048357E-2</v>
      </c>
      <c r="P67" s="9">
        <f t="shared" si="15"/>
        <v>-2.8924562692197644E-2</v>
      </c>
      <c r="Q67" s="11">
        <f t="shared" si="16"/>
        <v>38493.1204</v>
      </c>
      <c r="R67">
        <f t="shared" si="17"/>
        <v>4.8156206466736582E-5</v>
      </c>
      <c r="S67">
        <v>0.5</v>
      </c>
      <c r="T67">
        <f t="shared" si="18"/>
        <v>2.4078103233368291E-5</v>
      </c>
      <c r="U67">
        <f>VLOOKUP(C67,'A (3)'!C$41:E$95,3,FALSE)</f>
        <v>24348.447572569003</v>
      </c>
    </row>
    <row r="68" spans="1:21">
      <c r="A68" s="28" t="s">
        <v>49</v>
      </c>
      <c r="B68" s="74" t="s">
        <v>39</v>
      </c>
      <c r="C68" s="75">
        <v>53511.798499999997</v>
      </c>
      <c r="D68" s="75">
        <v>2.0999999999999999E-3</v>
      </c>
      <c r="E68" s="10">
        <f t="shared" si="12"/>
        <v>4172.3970151397516</v>
      </c>
      <c r="F68">
        <f t="shared" si="11"/>
        <v>4172.5</v>
      </c>
      <c r="G68" s="9">
        <f t="shared" si="13"/>
        <v>-3.6895700002787635E-2</v>
      </c>
      <c r="K68" s="9">
        <f>+G68</f>
        <v>-3.6895700002787635E-2</v>
      </c>
      <c r="O68" s="9">
        <f t="shared" ca="1" si="19"/>
        <v>-3.4475248388114832E-2</v>
      </c>
      <c r="P68" s="9">
        <f t="shared" si="15"/>
        <v>-2.8929398030440839E-2</v>
      </c>
      <c r="Q68" s="11">
        <f t="shared" si="16"/>
        <v>38493.298499999997</v>
      </c>
      <c r="R68">
        <f t="shared" si="17"/>
        <v>6.3461967114616439E-5</v>
      </c>
      <c r="S68">
        <v>0.4</v>
      </c>
      <c r="T68">
        <f t="shared" si="18"/>
        <v>2.5384786845846576E-5</v>
      </c>
      <c r="U68">
        <f>VLOOKUP(C68,'A (3)'!C$41:E$95,3,FALSE)</f>
        <v>24348.944700378881</v>
      </c>
    </row>
    <row r="69" spans="1:21">
      <c r="A69" s="28" t="s">
        <v>49</v>
      </c>
      <c r="B69" s="74" t="s">
        <v>41</v>
      </c>
      <c r="C69" s="75">
        <v>53517.711300000003</v>
      </c>
      <c r="D69" s="75">
        <v>1.2999999999999999E-3</v>
      </c>
      <c r="E69" s="10">
        <f t="shared" si="12"/>
        <v>4188.9010760911333</v>
      </c>
      <c r="F69">
        <f t="shared" si="11"/>
        <v>4189</v>
      </c>
      <c r="G69" s="9">
        <f t="shared" si="13"/>
        <v>-3.5440809995634481E-2</v>
      </c>
      <c r="K69" s="9">
        <f>+G69</f>
        <v>-3.5440809995634481E-2</v>
      </c>
      <c r="O69" s="9">
        <f t="shared" ca="1" si="19"/>
        <v>-3.4611491827308674E-2</v>
      </c>
      <c r="P69" s="9">
        <f t="shared" si="15"/>
        <v>-2.9089012961882918E-2</v>
      </c>
      <c r="Q69" s="11">
        <f t="shared" si="16"/>
        <v>38499.211300000003</v>
      </c>
      <c r="R69">
        <f t="shared" si="17"/>
        <v>4.0345325557975158E-5</v>
      </c>
      <c r="S69">
        <v>0.5</v>
      </c>
      <c r="T69">
        <f t="shared" si="18"/>
        <v>2.0172662778987579E-5</v>
      </c>
      <c r="U69">
        <f>VLOOKUP(C69,'A (3)'!C$41:E$95,3,FALSE)</f>
        <v>24365.449008712916</v>
      </c>
    </row>
    <row r="70" spans="1:21">
      <c r="A70" s="130" t="s">
        <v>38</v>
      </c>
      <c r="B70" s="131" t="s">
        <v>39</v>
      </c>
      <c r="C70" s="132">
        <v>53521.474999999999</v>
      </c>
      <c r="D70" s="132">
        <v>2E-3</v>
      </c>
      <c r="E70" s="10">
        <f t="shared" si="12"/>
        <v>4199.406476950724</v>
      </c>
      <c r="F70">
        <f t="shared" si="11"/>
        <v>4199.5</v>
      </c>
      <c r="G70" s="9">
        <f t="shared" si="13"/>
        <v>-3.3505879997392185E-2</v>
      </c>
      <c r="N70" s="9">
        <f t="shared" ref="N70:N79" si="20">+G70</f>
        <v>-3.3505879997392185E-2</v>
      </c>
      <c r="O70" s="9">
        <f t="shared" ca="1" si="19"/>
        <v>-3.4698192197704751E-2</v>
      </c>
      <c r="P70" s="9">
        <f t="shared" si="15"/>
        <v>-2.9190635391088092E-2</v>
      </c>
      <c r="Q70" s="11">
        <f t="shared" si="16"/>
        <v>38502.974999999999</v>
      </c>
      <c r="R70">
        <f t="shared" si="17"/>
        <v>1.8621336012236566E-5</v>
      </c>
      <c r="S70">
        <v>0.4</v>
      </c>
      <c r="T70">
        <f t="shared" si="18"/>
        <v>7.4485344048946267E-6</v>
      </c>
      <c r="U70">
        <f>VLOOKUP(C70,'A (3)'!C$41:E$95,3,FALSE)</f>
        <v>24375.954567040051</v>
      </c>
    </row>
    <row r="71" spans="1:21">
      <c r="A71" s="61" t="s">
        <v>159</v>
      </c>
      <c r="B71" s="37"/>
      <c r="C71" s="118">
        <v>54164.364999999998</v>
      </c>
      <c r="D71" s="132">
        <v>5.0000000000000001E-4</v>
      </c>
      <c r="E71" s="10">
        <f t="shared" si="12"/>
        <v>5993.8686175649427</v>
      </c>
      <c r="F71">
        <f t="shared" si="11"/>
        <v>5994</v>
      </c>
      <c r="G71" s="9">
        <f t="shared" si="13"/>
        <v>-4.7069510001165327E-2</v>
      </c>
      <c r="N71" s="9">
        <f t="shared" si="20"/>
        <v>-4.7069510001165327E-2</v>
      </c>
      <c r="O71" s="9">
        <f t="shared" ca="1" si="19"/>
        <v>-4.9515698357301338E-2</v>
      </c>
      <c r="P71" s="9">
        <f t="shared" si="15"/>
        <v>-4.7121557080749436E-2</v>
      </c>
      <c r="Q71" s="11">
        <f t="shared" si="16"/>
        <v>39145.864999999998</v>
      </c>
      <c r="R71">
        <f t="shared" si="17"/>
        <v>2.7088984932346432E-9</v>
      </c>
      <c r="S71">
        <v>1</v>
      </c>
      <c r="T71">
        <f t="shared" si="18"/>
        <v>2.7088984932346432E-9</v>
      </c>
      <c r="U71">
        <f>VLOOKUP(C71,'A (3)'!C$41:E$95,3,FALSE)</f>
        <v>26170.443605204364</v>
      </c>
    </row>
    <row r="72" spans="1:21">
      <c r="A72" s="28" t="s">
        <v>160</v>
      </c>
      <c r="B72" s="74" t="s">
        <v>41</v>
      </c>
      <c r="C72" s="79">
        <v>54233.502</v>
      </c>
      <c r="D72" s="132">
        <v>1.5E-3</v>
      </c>
      <c r="E72" s="10">
        <f t="shared" si="12"/>
        <v>6186.8467771500191</v>
      </c>
      <c r="F72">
        <f t="shared" si="11"/>
        <v>6187</v>
      </c>
      <c r="G72" s="9">
        <f t="shared" si="13"/>
        <v>-5.4894130000320729E-2</v>
      </c>
      <c r="N72" s="9">
        <f t="shared" si="20"/>
        <v>-5.4894130000320729E-2</v>
      </c>
      <c r="O72" s="9">
        <f t="shared" ca="1" si="19"/>
        <v>-5.1109333736962609E-2</v>
      </c>
      <c r="P72" s="9">
        <f t="shared" si="15"/>
        <v>-4.9116735775861925E-2</v>
      </c>
      <c r="Q72" s="11">
        <f t="shared" si="16"/>
        <v>39215.002</v>
      </c>
      <c r="R72">
        <f t="shared" si="17"/>
        <v>3.3378284024809942E-5</v>
      </c>
      <c r="S72">
        <v>0.5</v>
      </c>
      <c r="T72">
        <f t="shared" si="18"/>
        <v>1.6689142012404971E-5</v>
      </c>
      <c r="U72">
        <f>VLOOKUP(C72,'A (3)'!C$41:E$95,3,FALSE)</f>
        <v>26363.424657377476</v>
      </c>
    </row>
    <row r="73" spans="1:21">
      <c r="A73" s="28" t="s">
        <v>160</v>
      </c>
      <c r="B73" s="74" t="s">
        <v>39</v>
      </c>
      <c r="C73" s="79">
        <v>54301.390500000001</v>
      </c>
      <c r="D73" s="132">
        <v>2E-3</v>
      </c>
      <c r="E73" s="10">
        <f t="shared" si="12"/>
        <v>6376.340069988747</v>
      </c>
      <c r="F73">
        <f t="shared" si="11"/>
        <v>6376.5</v>
      </c>
      <c r="G73" s="9">
        <f t="shared" si="13"/>
        <v>-5.7297059996926691E-2</v>
      </c>
      <c r="N73" s="9">
        <f t="shared" si="20"/>
        <v>-5.7297059996926691E-2</v>
      </c>
      <c r="O73" s="9">
        <f t="shared" ca="1" si="19"/>
        <v>-5.2674068993158511E-2</v>
      </c>
      <c r="P73" s="9">
        <f t="shared" si="15"/>
        <v>-5.1088334934549937E-2</v>
      </c>
      <c r="Q73" s="11">
        <f t="shared" si="16"/>
        <v>39282.890500000001</v>
      </c>
      <c r="R73">
        <f t="shared" si="17"/>
        <v>3.8548266900185239E-5</v>
      </c>
      <c r="S73">
        <v>0.4</v>
      </c>
      <c r="T73">
        <f t="shared" si="18"/>
        <v>1.5419306760074095E-5</v>
      </c>
      <c r="U73">
        <f>VLOOKUP(C73,'A (3)'!C$41:E$95,3,FALSE)</f>
        <v>26552.920790568875</v>
      </c>
    </row>
    <row r="74" spans="1:21">
      <c r="A74" s="28" t="s">
        <v>160</v>
      </c>
      <c r="B74" s="74" t="s">
        <v>39</v>
      </c>
      <c r="C74" s="79">
        <v>54539.633500000004</v>
      </c>
      <c r="D74" s="75">
        <v>5.0000000000000001E-4</v>
      </c>
      <c r="E74" s="10">
        <f t="shared" si="12"/>
        <v>7041.3341494834622</v>
      </c>
      <c r="F74">
        <f t="shared" si="11"/>
        <v>7041.5</v>
      </c>
      <c r="G74" s="9">
        <f t="shared" si="13"/>
        <v>-5.9418159995402675E-2</v>
      </c>
      <c r="N74" s="9">
        <f t="shared" si="20"/>
        <v>-5.9418159995402675E-2</v>
      </c>
      <c r="O74" s="9">
        <f t="shared" ca="1" si="19"/>
        <v>-5.8165092451576861E-2</v>
      </c>
      <c r="P74" s="9">
        <f t="shared" si="15"/>
        <v>-5.8105937428079547E-2</v>
      </c>
      <c r="Q74" s="11">
        <f t="shared" si="16"/>
        <v>39521.133500000004</v>
      </c>
      <c r="R74">
        <f t="shared" si="17"/>
        <v>1.7219280661921007E-6</v>
      </c>
      <c r="S74">
        <v>1</v>
      </c>
      <c r="T74">
        <f t="shared" si="18"/>
        <v>1.7219280661921007E-6</v>
      </c>
      <c r="U74">
        <f>VLOOKUP(C74,'A (3)'!C$41:E$95,3,FALSE)</f>
        <v>27217.924837792172</v>
      </c>
    </row>
    <row r="75" spans="1:21">
      <c r="A75" s="28" t="s">
        <v>160</v>
      </c>
      <c r="B75" s="74" t="s">
        <v>41</v>
      </c>
      <c r="C75" s="79">
        <v>54644.423999999999</v>
      </c>
      <c r="D75" s="75">
        <v>1E-3</v>
      </c>
      <c r="E75" s="10">
        <f t="shared" si="12"/>
        <v>7333.8298873951217</v>
      </c>
      <c r="F75">
        <f t="shared" si="11"/>
        <v>7334</v>
      </c>
      <c r="G75" s="9">
        <f t="shared" si="13"/>
        <v>-6.0945110002649017E-2</v>
      </c>
      <c r="N75" s="9">
        <f t="shared" si="20"/>
        <v>-6.0945110002649017E-2</v>
      </c>
      <c r="O75" s="9">
        <f t="shared" ca="1" si="19"/>
        <v>-6.0580317055467639E-2</v>
      </c>
      <c r="P75" s="9">
        <f t="shared" si="15"/>
        <v>-6.1241321683657528E-2</v>
      </c>
      <c r="Q75" s="11">
        <f t="shared" si="16"/>
        <v>39625.923999999999</v>
      </c>
      <c r="R75">
        <f t="shared" si="17"/>
        <v>8.7741359965887932E-8</v>
      </c>
      <c r="S75">
        <v>0.5</v>
      </c>
      <c r="T75">
        <f t="shared" si="18"/>
        <v>4.3870679982943966E-8</v>
      </c>
      <c r="U75">
        <f>VLOOKUP(C75,'A (3)'!C$41:E$95,3,FALSE)</f>
        <v>27510.42495998065</v>
      </c>
    </row>
    <row r="76" spans="1:21">
      <c r="A76" s="28" t="s">
        <v>160</v>
      </c>
      <c r="B76" s="74" t="s">
        <v>39</v>
      </c>
      <c r="C76" s="79">
        <v>54646.394999999997</v>
      </c>
      <c r="D76" s="75">
        <v>2.9999999999999997E-4</v>
      </c>
      <c r="E76" s="10">
        <f t="shared" si="12"/>
        <v>7339.3314271284298</v>
      </c>
      <c r="F76">
        <f t="shared" si="11"/>
        <v>7339.5</v>
      </c>
      <c r="G76" s="9">
        <f t="shared" si="13"/>
        <v>-6.0393480001948774E-2</v>
      </c>
      <c r="N76" s="9">
        <f t="shared" si="20"/>
        <v>-6.0393480001948774E-2</v>
      </c>
      <c r="O76" s="9">
        <f t="shared" ca="1" si="19"/>
        <v>-6.0625731535198922E-2</v>
      </c>
      <c r="P76" s="9">
        <f t="shared" si="15"/>
        <v>-6.1300562593320507E-2</v>
      </c>
      <c r="Q76" s="11">
        <f t="shared" si="16"/>
        <v>39627.894999999997</v>
      </c>
      <c r="R76">
        <f t="shared" si="17"/>
        <v>8.227988275696581E-7</v>
      </c>
      <c r="S76">
        <v>1</v>
      </c>
      <c r="T76">
        <f t="shared" si="18"/>
        <v>8.227988275696581E-7</v>
      </c>
      <c r="U76" t="e">
        <f>VLOOKUP(C76,'A (3)'!C$41:E$95,3,FALSE)</f>
        <v>#N/A</v>
      </c>
    </row>
    <row r="77" spans="1:21">
      <c r="A77" s="28" t="s">
        <v>160</v>
      </c>
      <c r="B77" s="74" t="s">
        <v>39</v>
      </c>
      <c r="C77" s="79">
        <v>54656.426500000001</v>
      </c>
      <c r="D77" s="75">
        <v>1.5E-3</v>
      </c>
      <c r="E77" s="10">
        <f t="shared" si="12"/>
        <v>7367.3317801648427</v>
      </c>
      <c r="F77">
        <f t="shared" si="11"/>
        <v>7367.5</v>
      </c>
      <c r="G77" s="9">
        <f t="shared" si="13"/>
        <v>-6.0267000000749249E-2</v>
      </c>
      <c r="N77" s="9">
        <f t="shared" si="20"/>
        <v>-6.0267000000749249E-2</v>
      </c>
      <c r="O77" s="9">
        <f t="shared" ca="1" si="19"/>
        <v>-6.0856932522921799E-2</v>
      </c>
      <c r="P77" s="9">
        <f t="shared" si="15"/>
        <v>-6.1602315765197903E-2</v>
      </c>
      <c r="Q77" s="11">
        <f t="shared" si="16"/>
        <v>39637.926500000001</v>
      </c>
      <c r="R77">
        <f t="shared" si="17"/>
        <v>1.7830681907850928E-6</v>
      </c>
      <c r="S77">
        <v>0.5</v>
      </c>
      <c r="T77">
        <f t="shared" si="18"/>
        <v>8.9153409539254638E-7</v>
      </c>
      <c r="U77" t="e">
        <f>VLOOKUP(C77,'A (3)'!C$41:E$95,3,FALSE)</f>
        <v>#N/A</v>
      </c>
    </row>
    <row r="78" spans="1:21">
      <c r="A78" s="28" t="s">
        <v>161</v>
      </c>
      <c r="B78" s="74" t="s">
        <v>41</v>
      </c>
      <c r="C78" s="79">
        <v>54667.352200000001</v>
      </c>
      <c r="D78" s="79">
        <v>1E-4</v>
      </c>
      <c r="E78" s="10">
        <f t="shared" si="12"/>
        <v>7397.8280625921761</v>
      </c>
      <c r="F78">
        <f t="shared" si="11"/>
        <v>7398</v>
      </c>
      <c r="G78" s="9">
        <f t="shared" si="13"/>
        <v>-6.1598870001034811E-2</v>
      </c>
      <c r="N78" s="9">
        <f t="shared" si="20"/>
        <v>-6.1598870001034811E-2</v>
      </c>
      <c r="O78" s="9">
        <f t="shared" ca="1" si="19"/>
        <v>-6.1108776455977079E-2</v>
      </c>
      <c r="P78" s="9">
        <f t="shared" si="15"/>
        <v>-6.1931321404998477E-2</v>
      </c>
      <c r="Q78" s="11">
        <f t="shared" si="16"/>
        <v>39648.852200000001</v>
      </c>
      <c r="R78">
        <f t="shared" si="17"/>
        <v>1.1052393599741235E-7</v>
      </c>
      <c r="S78">
        <v>1</v>
      </c>
      <c r="T78">
        <f t="shared" si="18"/>
        <v>1.1052393599741235E-7</v>
      </c>
      <c r="U78" t="e">
        <f>VLOOKUP(C78,'A (3)'!C$41:E$95,3,FALSE)</f>
        <v>#N/A</v>
      </c>
    </row>
    <row r="79" spans="1:21">
      <c r="A79" s="28" t="s">
        <v>182</v>
      </c>
      <c r="B79" s="74" t="s">
        <v>39</v>
      </c>
      <c r="C79" s="75">
        <v>54667.352200000001</v>
      </c>
      <c r="D79" s="75">
        <v>1E-4</v>
      </c>
      <c r="E79" s="10">
        <f t="shared" si="12"/>
        <v>7397.8280625921761</v>
      </c>
      <c r="F79">
        <f t="shared" si="11"/>
        <v>7398</v>
      </c>
      <c r="G79" s="9">
        <f t="shared" si="13"/>
        <v>-6.1598870001034811E-2</v>
      </c>
      <c r="N79" s="9">
        <f t="shared" si="20"/>
        <v>-6.1598870001034811E-2</v>
      </c>
      <c r="O79" s="9">
        <f t="shared" ca="1" si="19"/>
        <v>-6.1108776455977079E-2</v>
      </c>
      <c r="P79" s="9">
        <f t="shared" si="15"/>
        <v>-6.1931321404998477E-2</v>
      </c>
      <c r="Q79" s="11">
        <f t="shared" si="16"/>
        <v>39648.852200000001</v>
      </c>
      <c r="R79">
        <f t="shared" si="17"/>
        <v>1.1052393599741235E-7</v>
      </c>
      <c r="S79">
        <v>1</v>
      </c>
      <c r="T79">
        <f t="shared" si="18"/>
        <v>1.1052393599741235E-7</v>
      </c>
      <c r="U79" t="e">
        <f>VLOOKUP(C79,'A (3)'!C$41:E$95,3,FALSE)</f>
        <v>#N/A</v>
      </c>
    </row>
    <row r="80" spans="1:21">
      <c r="A80" s="123" t="s">
        <v>125</v>
      </c>
      <c r="B80" s="124" t="s">
        <v>41</v>
      </c>
      <c r="C80" s="123">
        <v>54667.3531</v>
      </c>
      <c r="D80" s="123">
        <v>6.9999999999999999E-4</v>
      </c>
      <c r="E80" s="10">
        <f t="shared" si="12"/>
        <v>7397.8305747107734</v>
      </c>
      <c r="F80">
        <f t="shared" si="11"/>
        <v>7398</v>
      </c>
      <c r="G80" s="9">
        <f t="shared" si="13"/>
        <v>-6.0698870001942851E-2</v>
      </c>
      <c r="K80" s="9">
        <f>+G80</f>
        <v>-6.0698870001942851E-2</v>
      </c>
      <c r="O80" s="9">
        <f t="shared" ca="1" si="19"/>
        <v>-6.1108776455977079E-2</v>
      </c>
      <c r="P80" s="9">
        <f t="shared" si="15"/>
        <v>-6.1931321404998477E-2</v>
      </c>
      <c r="Q80" s="11">
        <f t="shared" si="16"/>
        <v>39648.8531</v>
      </c>
      <c r="R80">
        <f t="shared" si="17"/>
        <v>1.5189364608937812E-6</v>
      </c>
      <c r="S80">
        <v>1</v>
      </c>
      <c r="T80">
        <f t="shared" si="18"/>
        <v>1.5189364608937812E-6</v>
      </c>
      <c r="U80" t="e">
        <f>VLOOKUP(C80,'A (3)'!C$41:E$95,3,FALSE)</f>
        <v>#N/A</v>
      </c>
    </row>
    <row r="81" spans="1:21">
      <c r="A81" s="28" t="s">
        <v>160</v>
      </c>
      <c r="B81" s="74" t="s">
        <v>39</v>
      </c>
      <c r="C81" s="79">
        <v>54894.668599999997</v>
      </c>
      <c r="D81" s="79"/>
      <c r="E81" s="10">
        <f t="shared" si="12"/>
        <v>8032.3233475409406</v>
      </c>
      <c r="F81">
        <f t="shared" si="11"/>
        <v>8032.5</v>
      </c>
      <c r="G81" s="9">
        <f t="shared" si="13"/>
        <v>-6.3288099998317193E-2</v>
      </c>
      <c r="N81" s="9">
        <f>+G81</f>
        <v>-6.3288099998317193E-2</v>
      </c>
      <c r="O81" s="9">
        <f t="shared" ca="1" si="19"/>
        <v>-6.6347955981340162E-2</v>
      </c>
      <c r="P81" s="9">
        <f t="shared" si="15"/>
        <v>-6.884907888015733E-2</v>
      </c>
      <c r="Q81" s="11">
        <f t="shared" si="16"/>
        <v>39876.168599999997</v>
      </c>
      <c r="R81">
        <f t="shared" si="17"/>
        <v>3.0924486124271978E-5</v>
      </c>
      <c r="S81">
        <v>1</v>
      </c>
      <c r="T81">
        <f t="shared" si="18"/>
        <v>3.0924486124271978E-5</v>
      </c>
      <c r="U81" t="e">
        <f>VLOOKUP(C81,'A (3)'!C$41:E$95,3,FALSE)</f>
        <v>#N/A</v>
      </c>
    </row>
    <row r="82" spans="1:21">
      <c r="A82" s="28" t="s">
        <v>160</v>
      </c>
      <c r="B82" s="74" t="s">
        <v>41</v>
      </c>
      <c r="C82" s="79">
        <v>54971.514000000003</v>
      </c>
      <c r="D82" s="79"/>
      <c r="E82" s="10">
        <f t="shared" si="12"/>
        <v>8246.8175238080566</v>
      </c>
      <c r="F82">
        <f t="shared" si="11"/>
        <v>8247</v>
      </c>
      <c r="G82" s="9">
        <f t="shared" si="13"/>
        <v>-6.5374529993277974E-2</v>
      </c>
      <c r="N82" s="9">
        <f>+G82</f>
        <v>-6.5374529993277974E-2</v>
      </c>
      <c r="O82" s="9">
        <f t="shared" ca="1" si="19"/>
        <v>-6.8119120690860069E-2</v>
      </c>
      <c r="P82" s="9">
        <f t="shared" si="15"/>
        <v>-7.1219368938316222E-2</v>
      </c>
      <c r="Q82" s="11">
        <f t="shared" si="16"/>
        <v>39953.014000000003</v>
      </c>
      <c r="R82">
        <f t="shared" si="17"/>
        <v>3.4162142293435812E-5</v>
      </c>
      <c r="S82">
        <v>1</v>
      </c>
      <c r="T82">
        <f t="shared" si="18"/>
        <v>3.4162142293435812E-5</v>
      </c>
      <c r="U82" t="e">
        <f>VLOOKUP(C82,'A (3)'!C$41:E$95,3,FALSE)</f>
        <v>#N/A</v>
      </c>
    </row>
    <row r="83" spans="1:21">
      <c r="A83" s="123" t="s">
        <v>180</v>
      </c>
      <c r="B83" s="124" t="s">
        <v>41</v>
      </c>
      <c r="C83" s="123">
        <v>55652.909099999997</v>
      </c>
      <c r="D83" s="123">
        <v>5.9999999999999995E-4</v>
      </c>
      <c r="E83" s="10">
        <f t="shared" si="12"/>
        <v>10148.756750969826</v>
      </c>
      <c r="F83">
        <f t="shared" si="11"/>
        <v>10149</v>
      </c>
      <c r="G83" s="9">
        <f t="shared" si="13"/>
        <v>-8.714721000433201E-2</v>
      </c>
      <c r="K83" s="9">
        <f>+G83</f>
        <v>-8.714721000433201E-2</v>
      </c>
      <c r="O83" s="9">
        <f t="shared" ca="1" si="19"/>
        <v>-8.382427349974983E-2</v>
      </c>
      <c r="P83" s="9">
        <f t="shared" si="15"/>
        <v>-9.2936957884829266E-2</v>
      </c>
      <c r="Q83" s="11">
        <f t="shared" si="16"/>
        <v>40634.409099999997</v>
      </c>
      <c r="R83">
        <f t="shared" si="17"/>
        <v>3.3521180519722475E-5</v>
      </c>
      <c r="S83">
        <v>1</v>
      </c>
      <c r="T83">
        <f t="shared" si="18"/>
        <v>3.3521180519722475E-5</v>
      </c>
      <c r="U83" t="e">
        <f>VLOOKUP(C83,'A (3)'!C$41:E$95,3,FALSE)</f>
        <v>#N/A</v>
      </c>
    </row>
    <row r="84" spans="1:21">
      <c r="A84" s="99" t="s">
        <v>192</v>
      </c>
      <c r="B84" s="97" t="s">
        <v>41</v>
      </c>
      <c r="C84" s="100">
        <v>56067.413800000002</v>
      </c>
      <c r="D84" s="100">
        <v>2.9999999999999997E-4</v>
      </c>
      <c r="E84" s="10">
        <f t="shared" si="12"/>
        <v>11305.740047111723</v>
      </c>
      <c r="F84" s="151">
        <f>ROUND(2*E84,0)/2+0.5</f>
        <v>11306</v>
      </c>
      <c r="G84" s="9">
        <f t="shared" si="13"/>
        <v>-9.3131589994300157E-2</v>
      </c>
      <c r="N84" s="9">
        <f>+G84</f>
        <v>-9.3131589994300157E-2</v>
      </c>
      <c r="O84" s="9">
        <f t="shared" ca="1" si="19"/>
        <v>-9.3377828599584461E-2</v>
      </c>
      <c r="P84" s="9">
        <f t="shared" si="15"/>
        <v>-0.1067632777937042</v>
      </c>
      <c r="Q84" s="11">
        <f t="shared" si="16"/>
        <v>41048.913800000002</v>
      </c>
      <c r="R84">
        <f t="shared" si="17"/>
        <v>1.8582291226042113E-4</v>
      </c>
      <c r="S84">
        <v>1</v>
      </c>
      <c r="T84">
        <f t="shared" si="18"/>
        <v>1.8582291226042113E-4</v>
      </c>
      <c r="U84" t="e">
        <f>VLOOKUP(C84,'A (3)'!C$41:E$95,3,FALSE)</f>
        <v>#N/A</v>
      </c>
    </row>
    <row r="85" spans="1:21">
      <c r="A85" s="99" t="s">
        <v>192</v>
      </c>
      <c r="B85" s="97" t="s">
        <v>41</v>
      </c>
      <c r="C85" s="100">
        <v>56067.413860000001</v>
      </c>
      <c r="D85" s="100">
        <v>2.0000000000000001E-4</v>
      </c>
      <c r="E85" s="10">
        <f t="shared" si="12"/>
        <v>11305.740214586292</v>
      </c>
      <c r="F85" s="151">
        <f>ROUND(2*E85,0)/2+0.5</f>
        <v>11306</v>
      </c>
      <c r="G85" s="9">
        <f>+C85-(C$7+F85*C$8)</f>
        <v>-9.3071589995815884E-2</v>
      </c>
      <c r="N85" s="9">
        <f>+G85</f>
        <v>-9.3071589995815884E-2</v>
      </c>
      <c r="O85" s="9">
        <f t="shared" ca="1" si="19"/>
        <v>-9.3377828599584461E-2</v>
      </c>
      <c r="P85" s="9">
        <f t="shared" si="15"/>
        <v>-0.1067632777937042</v>
      </c>
      <c r="Q85" s="11">
        <f t="shared" si="16"/>
        <v>41048.913860000001</v>
      </c>
      <c r="R85">
        <f t="shared" si="17"/>
        <v>1.8746231475484388E-4</v>
      </c>
      <c r="S85">
        <v>1</v>
      </c>
      <c r="T85">
        <f>S85*R85</f>
        <v>1.8746231475484388E-4</v>
      </c>
      <c r="U85" t="e">
        <f>VLOOKUP(C85,'A (3)'!C$41:E$95,3,FALSE)</f>
        <v>#N/A</v>
      </c>
    </row>
    <row r="86" spans="1:21">
      <c r="A86" s="99" t="s">
        <v>192</v>
      </c>
      <c r="B86" s="97" t="s">
        <v>41</v>
      </c>
      <c r="C86" s="100">
        <v>56067.414049999999</v>
      </c>
      <c r="D86" s="100">
        <v>2.9999999999999997E-4</v>
      </c>
      <c r="E86" s="10">
        <f t="shared" si="12"/>
        <v>11305.740744922437</v>
      </c>
      <c r="F86" s="151">
        <f>ROUND(2*E86,0)/2+0.5</f>
        <v>11306</v>
      </c>
      <c r="G86" s="9">
        <f>+C86-(C$7+F86*C$8)</f>
        <v>-9.2881589996977709E-2</v>
      </c>
      <c r="N86" s="9">
        <f>+G86</f>
        <v>-9.2881589996977709E-2</v>
      </c>
      <c r="O86" s="9">
        <f t="shared" ca="1" si="19"/>
        <v>-9.3377828599584461E-2</v>
      </c>
      <c r="P86" s="9">
        <f t="shared" si="15"/>
        <v>-0.1067632777937042</v>
      </c>
      <c r="Q86" s="11">
        <f t="shared" si="16"/>
        <v>41048.914049999999</v>
      </c>
      <c r="R86">
        <f t="shared" si="17"/>
        <v>1.9270125608578526E-4</v>
      </c>
      <c r="S86">
        <v>1</v>
      </c>
      <c r="T86">
        <f>S86*R86</f>
        <v>1.9270125608578526E-4</v>
      </c>
      <c r="U86" t="e">
        <f>VLOOKUP(C86,'A (3)'!C$41:E$95,3,FALSE)</f>
        <v>#N/A</v>
      </c>
    </row>
    <row r="87" spans="1:21">
      <c r="A87" s="99" t="s">
        <v>192</v>
      </c>
      <c r="B87" s="97" t="s">
        <v>41</v>
      </c>
      <c r="C87" s="100">
        <v>56067.414640000003</v>
      </c>
      <c r="D87" s="100">
        <v>2.0000000000000001E-4</v>
      </c>
      <c r="E87" s="10">
        <f t="shared" si="12"/>
        <v>11305.742391755752</v>
      </c>
      <c r="F87" s="151">
        <f>ROUND(2*E87,0)/2+0.5</f>
        <v>11306</v>
      </c>
      <c r="G87" s="9">
        <f>+C87-(C$7+F87*C$8)</f>
        <v>-9.2291589993692469E-2</v>
      </c>
      <c r="N87" s="9">
        <f>+G87</f>
        <v>-9.2291589993692469E-2</v>
      </c>
      <c r="O87" s="9">
        <f t="shared" ca="1" si="19"/>
        <v>-9.3377828599584461E-2</v>
      </c>
      <c r="P87" s="9">
        <f t="shared" si="15"/>
        <v>-0.1067632777937042</v>
      </c>
      <c r="Q87" s="11">
        <f t="shared" si="16"/>
        <v>41048.914640000003</v>
      </c>
      <c r="R87">
        <f t="shared" si="17"/>
        <v>2.0942974778100846E-4</v>
      </c>
      <c r="S87">
        <v>1</v>
      </c>
      <c r="T87">
        <f>S87*R87</f>
        <v>2.0942974778100846E-4</v>
      </c>
      <c r="U87" t="e">
        <f>VLOOKUP(C87,'A (3)'!C$41:E$95,3,FALSE)</f>
        <v>#N/A</v>
      </c>
    </row>
    <row r="88" spans="1:21">
      <c r="A88" s="125"/>
      <c r="B88" s="126"/>
      <c r="C88"/>
      <c r="D88" s="125"/>
      <c r="F88" s="162"/>
    </row>
    <row r="89" spans="1:21">
      <c r="A89" s="125"/>
      <c r="B89" s="126"/>
      <c r="C89"/>
      <c r="D89" s="125"/>
      <c r="F89" s="162"/>
    </row>
    <row r="90" spans="1:21">
      <c r="A90" s="127"/>
      <c r="B90" s="128"/>
      <c r="C90"/>
      <c r="D90" s="129"/>
      <c r="F90" s="162"/>
    </row>
    <row r="91" spans="1:21">
      <c r="A91" s="130"/>
      <c r="B91" s="131"/>
      <c r="C91" s="132"/>
      <c r="D91" s="132"/>
    </row>
    <row r="92" spans="1:21">
      <c r="A92" s="130"/>
      <c r="B92" s="131"/>
      <c r="C92" s="132"/>
      <c r="D92" s="132"/>
    </row>
    <row r="93" spans="1:21">
      <c r="A93" s="130"/>
      <c r="B93" s="131"/>
      <c r="C93" s="132"/>
      <c r="D93" s="132"/>
    </row>
    <row r="94" spans="1:21">
      <c r="A94" s="127"/>
      <c r="B94" s="128"/>
      <c r="C94" s="129"/>
      <c r="D94" s="129"/>
    </row>
    <row r="95" spans="1:21">
      <c r="A95" s="130"/>
      <c r="B95" s="131"/>
      <c r="C95" s="132"/>
      <c r="D95" s="132"/>
    </row>
    <row r="96" spans="1:21">
      <c r="A96" s="130"/>
      <c r="B96" s="131"/>
      <c r="C96" s="132"/>
      <c r="D96" s="132"/>
    </row>
    <row r="97" spans="1:4">
      <c r="A97" s="130"/>
      <c r="B97" s="131"/>
      <c r="C97" s="132"/>
      <c r="D97" s="132"/>
    </row>
    <row r="98" spans="1:4">
      <c r="A98" s="130"/>
      <c r="B98" s="131"/>
      <c r="C98" s="132"/>
      <c r="D98" s="132"/>
    </row>
    <row r="99" spans="1:4">
      <c r="A99" s="130"/>
      <c r="B99" s="131"/>
      <c r="C99" s="132"/>
      <c r="D99" s="132"/>
    </row>
    <row r="100" spans="1:4">
      <c r="A100" s="130"/>
      <c r="B100" s="131"/>
      <c r="C100" s="132"/>
      <c r="D100" s="132"/>
    </row>
    <row r="101" spans="1:4">
      <c r="A101" s="130"/>
      <c r="B101" s="131"/>
      <c r="C101" s="132"/>
      <c r="D101" s="132"/>
    </row>
    <row r="102" spans="1:4">
      <c r="A102" s="130"/>
      <c r="B102" s="131"/>
      <c r="C102" s="132"/>
      <c r="D102" s="132"/>
    </row>
    <row r="103" spans="1:4">
      <c r="A103" s="130"/>
      <c r="B103" s="131"/>
      <c r="C103" s="132"/>
      <c r="D103" s="132"/>
    </row>
    <row r="104" spans="1:4">
      <c r="A104" s="130"/>
      <c r="B104" s="131"/>
      <c r="C104" s="132"/>
      <c r="D104" s="132"/>
    </row>
    <row r="105" spans="1:4">
      <c r="A105" s="130"/>
      <c r="B105" s="131"/>
      <c r="C105" s="132"/>
      <c r="D105" s="132"/>
    </row>
    <row r="106" spans="1:4">
      <c r="A106" s="130"/>
      <c r="B106" s="131"/>
      <c r="C106" s="132"/>
      <c r="D106" s="132"/>
    </row>
    <row r="107" spans="1:4">
      <c r="A107" s="130"/>
      <c r="B107" s="131"/>
      <c r="C107" s="132"/>
      <c r="D107" s="132"/>
    </row>
    <row r="108" spans="1:4">
      <c r="A108" s="130"/>
      <c r="B108" s="131"/>
      <c r="C108" s="132"/>
      <c r="D108" s="132"/>
    </row>
    <row r="109" spans="1:4">
      <c r="A109" s="130"/>
      <c r="B109" s="131"/>
      <c r="C109" s="132"/>
    </row>
    <row r="110" spans="1:4">
      <c r="A110" s="130"/>
      <c r="B110" s="131"/>
      <c r="C110" s="132"/>
      <c r="D110" s="79"/>
    </row>
    <row r="111" spans="1:4">
      <c r="A111" s="130"/>
      <c r="B111" s="131"/>
      <c r="C111" s="132"/>
      <c r="D111" s="79"/>
    </row>
    <row r="112" spans="1:4">
      <c r="A112" s="130"/>
      <c r="B112" s="131"/>
      <c r="C112" s="132"/>
      <c r="D112" s="79"/>
    </row>
    <row r="113" spans="1:4">
      <c r="A113" s="130"/>
      <c r="B113" s="131"/>
      <c r="C113" s="132"/>
    </row>
    <row r="114" spans="1:4">
      <c r="A114" s="130"/>
      <c r="B114" s="131"/>
      <c r="C114" s="132"/>
    </row>
    <row r="115" spans="1:4">
      <c r="A115" s="130"/>
      <c r="B115" s="131"/>
      <c r="C115" s="132"/>
      <c r="D115" s="132"/>
    </row>
    <row r="116" spans="1:4">
      <c r="A116" s="130"/>
      <c r="B116" s="131"/>
      <c r="C116" s="132"/>
      <c r="D116" s="132"/>
    </row>
    <row r="117" spans="1:4">
      <c r="A117" s="130"/>
      <c r="B117" s="131"/>
      <c r="C117" s="132"/>
      <c r="D117" s="132"/>
    </row>
    <row r="118" spans="1:4">
      <c r="A118" s="130"/>
      <c r="B118" s="131"/>
      <c r="C118" s="132"/>
      <c r="D118" s="132"/>
    </row>
    <row r="119" spans="1:4">
      <c r="C119" s="14"/>
      <c r="D119" s="14"/>
    </row>
    <row r="120" spans="1:4">
      <c r="C120" s="14"/>
      <c r="D120" s="14"/>
    </row>
    <row r="121" spans="1:4">
      <c r="C121" s="14"/>
      <c r="D121" s="14"/>
    </row>
    <row r="122" spans="1:4">
      <c r="C122" s="14"/>
      <c r="D122" s="14"/>
    </row>
    <row r="123" spans="1:4">
      <c r="C123" s="14"/>
      <c r="D123" s="14"/>
    </row>
    <row r="124" spans="1:4">
      <c r="C124" s="14"/>
      <c r="D124" s="14"/>
    </row>
    <row r="125" spans="1:4">
      <c r="C125" s="14"/>
      <c r="D125" s="14"/>
    </row>
    <row r="126" spans="1:4">
      <c r="C126" s="14"/>
      <c r="D126" s="14"/>
    </row>
    <row r="127" spans="1:4">
      <c r="C127" s="14"/>
      <c r="D127" s="14"/>
    </row>
    <row r="128" spans="1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</sheetData>
  <sheetProtection sheet="1"/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42"/>
  <sheetViews>
    <sheetView workbookViewId="0">
      <selection activeCell="E9" sqref="E9:G9"/>
    </sheetView>
  </sheetViews>
  <sheetFormatPr defaultRowHeight="12.75"/>
  <cols>
    <col min="1" max="1" width="9.140625" style="16"/>
    <col min="2" max="2" width="10.7109375" style="16" customWidth="1"/>
    <col min="3" max="4" width="9.140625" style="16"/>
    <col min="5" max="5" width="12.5703125" style="16" customWidth="1"/>
    <col min="6" max="6" width="9.140625" style="16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>
      <c r="A1" s="42" t="s">
        <v>51</v>
      </c>
      <c r="D1" s="22" t="s">
        <v>52</v>
      </c>
      <c r="M1" s="43" t="s">
        <v>53</v>
      </c>
      <c r="N1" s="16" t="s">
        <v>54</v>
      </c>
      <c r="O1" s="16">
        <f ca="1">H18*J18-I18*I18</f>
        <v>66229.8499843748</v>
      </c>
      <c r="P1" s="16" t="s">
        <v>168</v>
      </c>
      <c r="U1" s="7" t="s">
        <v>111</v>
      </c>
      <c r="V1" s="70" t="s">
        <v>113</v>
      </c>
      <c r="AA1" s="16">
        <v>1</v>
      </c>
      <c r="AB1" s="16" t="s">
        <v>55</v>
      </c>
    </row>
    <row r="2" spans="1:28">
      <c r="M2" s="43" t="s">
        <v>56</v>
      </c>
      <c r="N2" s="16" t="s">
        <v>57</v>
      </c>
      <c r="O2" s="16">
        <f ca="1">+F18*J18-H18*I18</f>
        <v>4728.1890908087953</v>
      </c>
      <c r="P2" s="16" t="s">
        <v>169</v>
      </c>
      <c r="U2" s="16">
        <v>-6.5</v>
      </c>
      <c r="V2" s="16">
        <f t="shared" ref="V2:V18" ca="1" si="0">+E$4+E$5*U2+E$6*U2^2</f>
        <v>-0.19443598040276355</v>
      </c>
      <c r="AA2" s="16">
        <v>2</v>
      </c>
      <c r="AB2" s="16" t="s">
        <v>58</v>
      </c>
    </row>
    <row r="3" spans="1:28" ht="13.5" thickBot="1">
      <c r="A3" s="16" t="s">
        <v>59</v>
      </c>
      <c r="B3" s="16" t="s">
        <v>60</v>
      </c>
      <c r="E3" s="44" t="s">
        <v>61</v>
      </c>
      <c r="F3" s="44" t="s">
        <v>62</v>
      </c>
      <c r="G3" s="44" t="s">
        <v>63</v>
      </c>
      <c r="H3" s="44" t="s">
        <v>64</v>
      </c>
      <c r="M3" s="43" t="s">
        <v>65</v>
      </c>
      <c r="N3" s="16" t="s">
        <v>66</v>
      </c>
      <c r="O3" s="16">
        <f ca="1">+F18*I18-H18*H18</f>
        <v>-4137.5564181769623</v>
      </c>
      <c r="P3" s="16" t="s">
        <v>170</v>
      </c>
      <c r="U3" s="16">
        <v>-6</v>
      </c>
      <c r="V3" s="16">
        <f t="shared" ca="1" si="0"/>
        <v>-0.12580457991187866</v>
      </c>
      <c r="AA3" s="16">
        <v>3</v>
      </c>
      <c r="AB3" s="16" t="s">
        <v>67</v>
      </c>
    </row>
    <row r="4" spans="1:28">
      <c r="A4" s="16" t="s">
        <v>68</v>
      </c>
      <c r="B4" s="16" t="s">
        <v>69</v>
      </c>
      <c r="D4" s="45" t="s">
        <v>70</v>
      </c>
      <c r="E4" s="46">
        <f ca="1">(G18*O1-K18*O2+L18*O3)/O7</f>
        <v>7.4214468061546803E-3</v>
      </c>
      <c r="F4" s="47">
        <f ca="1">+E7/O7*O18</f>
        <v>9.218053901158572E-4</v>
      </c>
      <c r="G4" s="48">
        <f>+B18</f>
        <v>1</v>
      </c>
      <c r="H4" s="49">
        <f ca="1">ABS(F4/E4)</f>
        <v>0.12420831331047132</v>
      </c>
      <c r="M4" s="43" t="s">
        <v>71</v>
      </c>
      <c r="N4" s="16" t="s">
        <v>72</v>
      </c>
      <c r="O4" s="16">
        <f ca="1">+C18*J18-H18*H18</f>
        <v>78498.371431455045</v>
      </c>
      <c r="P4" s="16" t="s">
        <v>171</v>
      </c>
      <c r="U4" s="16">
        <v>-5.5</v>
      </c>
      <c r="V4" s="16">
        <f t="shared" ca="1" si="0"/>
        <v>-6.6023830436026831E-2</v>
      </c>
      <c r="AA4" s="16">
        <v>4</v>
      </c>
      <c r="AB4" s="16" t="s">
        <v>73</v>
      </c>
    </row>
    <row r="5" spans="1:28">
      <c r="A5" s="16" t="s">
        <v>74</v>
      </c>
      <c r="B5" s="50">
        <v>40323</v>
      </c>
      <c r="D5" s="51" t="s">
        <v>75</v>
      </c>
      <c r="E5" s="52">
        <f ca="1">+(-G18*O2+K18*O4-L18*O5)/O7</f>
        <v>-8.4003474394058933E-2</v>
      </c>
      <c r="F5" s="53">
        <f ca="1">P18*E7/O7</f>
        <v>1.0310201112634951E-3</v>
      </c>
      <c r="G5" s="54">
        <f>+B18/A18</f>
        <v>1E-4</v>
      </c>
      <c r="H5" s="49">
        <f ca="1">ABS(F5/E5)</f>
        <v>1.2273541287435285E-2</v>
      </c>
      <c r="M5" s="43" t="s">
        <v>76</v>
      </c>
      <c r="N5" s="16" t="s">
        <v>77</v>
      </c>
      <c r="O5" s="16">
        <f ca="1">+C18*I18-F18*H18</f>
        <v>-14928.212832010391</v>
      </c>
      <c r="P5" s="16" t="s">
        <v>172</v>
      </c>
      <c r="U5" s="16">
        <v>-5</v>
      </c>
      <c r="V5" s="16">
        <f t="shared" ca="1" si="0"/>
        <v>-1.5093731975208191E-2</v>
      </c>
      <c r="AA5" s="16">
        <v>5</v>
      </c>
      <c r="AB5" s="16" t="s">
        <v>78</v>
      </c>
    </row>
    <row r="6" spans="1:28" ht="13.5" thickBot="1">
      <c r="D6" s="55" t="s">
        <v>79</v>
      </c>
      <c r="E6" s="56">
        <f ca="1">+(G18*O3-K18*O5+L18*O6)/O7</f>
        <v>-1.7701302030066302E-2</v>
      </c>
      <c r="F6" s="57">
        <f ca="1">Q18*E7/O7</f>
        <v>1.7932018176398975E-4</v>
      </c>
      <c r="G6" s="58">
        <f>+B18/A18^2</f>
        <v>1E-8</v>
      </c>
      <c r="H6" s="49">
        <f ca="1">ABS(F6/E6)</f>
        <v>1.0130338517438317E-2</v>
      </c>
      <c r="M6" s="59" t="s">
        <v>80</v>
      </c>
      <c r="N6" s="60" t="s">
        <v>81</v>
      </c>
      <c r="O6" s="60">
        <f ca="1">+C18*H18-F18*F18</f>
        <v>4096.753965963725</v>
      </c>
      <c r="P6" s="16" t="s">
        <v>173</v>
      </c>
      <c r="U6" s="16">
        <v>-4.5</v>
      </c>
      <c r="V6" s="16">
        <f t="shared" ca="1" si="0"/>
        <v>2.6985715470577321E-2</v>
      </c>
      <c r="AA6" s="16">
        <v>6</v>
      </c>
      <c r="AB6" s="16" t="s">
        <v>82</v>
      </c>
    </row>
    <row r="7" spans="1:28">
      <c r="D7" s="22" t="s">
        <v>83</v>
      </c>
      <c r="E7" s="61">
        <f ca="1">SQRT(N18/(B15-3))</f>
        <v>5.9498746743619803E-3</v>
      </c>
      <c r="G7" s="62">
        <f>+B22</f>
        <v>-0.17782625000108965</v>
      </c>
      <c r="M7" s="43" t="s">
        <v>84</v>
      </c>
      <c r="N7" s="16" t="s">
        <v>85</v>
      </c>
      <c r="O7" s="16">
        <f ca="1">+C18*O1-F18*O2+H18*O3</f>
        <v>2384951.1141475188</v>
      </c>
      <c r="U7" s="16">
        <v>-4</v>
      </c>
      <c r="V7" s="16">
        <f t="shared" ca="1" si="0"/>
        <v>6.0214511901329593E-2</v>
      </c>
      <c r="AA7" s="16">
        <v>7</v>
      </c>
      <c r="AB7" s="16" t="s">
        <v>86</v>
      </c>
    </row>
    <row r="8" spans="1:28">
      <c r="A8" s="32">
        <v>21</v>
      </c>
      <c r="B8" s="16" t="s">
        <v>91</v>
      </c>
      <c r="C8" s="119">
        <v>21</v>
      </c>
      <c r="D8" s="22" t="s">
        <v>87</v>
      </c>
      <c r="F8" s="120">
        <f ca="1">CORREL(INDIRECT(E12):INDIRECT(E13),INDIRECT(M12):INDIRECT(M13))</f>
        <v>0.98857852688258907</v>
      </c>
      <c r="G8" s="61"/>
      <c r="K8" s="62"/>
      <c r="U8" s="16">
        <v>-3.5</v>
      </c>
      <c r="V8" s="16">
        <f t="shared" ca="1" si="0"/>
        <v>8.4592657317048736E-2</v>
      </c>
      <c r="AA8" s="16">
        <v>8</v>
      </c>
      <c r="AB8" s="16" t="s">
        <v>88</v>
      </c>
    </row>
    <row r="9" spans="1:28">
      <c r="A9" s="32">
        <f>20+COUNT(A21:A1449)</f>
        <v>87</v>
      </c>
      <c r="B9" s="16" t="s">
        <v>93</v>
      </c>
      <c r="C9" s="119">
        <f>A9</f>
        <v>87</v>
      </c>
      <c r="E9" s="63">
        <f ca="1">E6*G6</f>
        <v>-1.7701302030066302E-10</v>
      </c>
      <c r="F9" s="64">
        <f ca="1">H6</f>
        <v>1.0130338517438317E-2</v>
      </c>
      <c r="G9" s="65">
        <f ca="1">F8</f>
        <v>0.98857852688258907</v>
      </c>
      <c r="K9" s="62"/>
      <c r="U9" s="16">
        <v>-3</v>
      </c>
      <c r="V9" s="16">
        <f t="shared" ca="1" si="0"/>
        <v>0.10012015171773478</v>
      </c>
      <c r="AA9" s="16">
        <v>9</v>
      </c>
      <c r="AB9" s="16" t="s">
        <v>39</v>
      </c>
    </row>
    <row r="10" spans="1:28">
      <c r="A10" s="99" t="s">
        <v>6</v>
      </c>
      <c r="B10" s="100">
        <f>'Active 1'!C8</f>
        <v>0.35825796999999998</v>
      </c>
      <c r="D10" s="16" t="s">
        <v>162</v>
      </c>
      <c r="E10" s="16">
        <f ca="1">2*E9*365.2422/B10</f>
        <v>-3.6092776924548994E-7</v>
      </c>
      <c r="F10" s="16" t="s">
        <v>163</v>
      </c>
      <c r="U10" s="16">
        <v>-2.5</v>
      </c>
      <c r="V10" s="16">
        <f t="shared" ca="1" si="0"/>
        <v>0.10679699510338761</v>
      </c>
      <c r="AA10" s="16">
        <v>10</v>
      </c>
      <c r="AB10" s="16" t="s">
        <v>89</v>
      </c>
    </row>
    <row r="11" spans="1:28">
      <c r="U11" s="16">
        <v>-2</v>
      </c>
      <c r="V11" s="16">
        <f t="shared" ca="1" si="0"/>
        <v>0.10462318747400733</v>
      </c>
      <c r="AA11" s="16">
        <v>11</v>
      </c>
      <c r="AB11" s="16" t="s">
        <v>90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16">
        <v>-1.5</v>
      </c>
      <c r="V12" s="16">
        <f t="shared" ca="1" si="0"/>
        <v>9.3598728829593886E-2</v>
      </c>
      <c r="AA12" s="16">
        <v>12</v>
      </c>
      <c r="AB12" s="16" t="s">
        <v>92</v>
      </c>
    </row>
    <row r="13" spans="1:28">
      <c r="C13" s="4" t="str">
        <f t="shared" si="1"/>
        <v>C87</v>
      </c>
      <c r="D13" s="4" t="str">
        <f t="shared" si="1"/>
        <v>D87</v>
      </c>
      <c r="E13" s="4" t="str">
        <f t="shared" si="1"/>
        <v>E87</v>
      </c>
      <c r="F13" s="4" t="str">
        <f t="shared" si="1"/>
        <v>F87</v>
      </c>
      <c r="G13" s="4" t="str">
        <f t="shared" ref="G13:Q13" si="3">G$15&amp;$C9</f>
        <v>G87</v>
      </c>
      <c r="H13" s="4" t="str">
        <f t="shared" si="3"/>
        <v>H87</v>
      </c>
      <c r="I13" s="4" t="str">
        <f t="shared" si="3"/>
        <v>I87</v>
      </c>
      <c r="J13" s="4" t="str">
        <f t="shared" si="3"/>
        <v>J87</v>
      </c>
      <c r="K13" s="4" t="str">
        <f t="shared" si="3"/>
        <v>K87</v>
      </c>
      <c r="L13" s="4" t="str">
        <f t="shared" si="3"/>
        <v>L87</v>
      </c>
      <c r="M13" s="4" t="str">
        <f t="shared" si="3"/>
        <v>M87</v>
      </c>
      <c r="N13" s="4" t="str">
        <f t="shared" si="3"/>
        <v>N87</v>
      </c>
      <c r="O13" s="4" t="str">
        <f t="shared" si="3"/>
        <v>O87</v>
      </c>
      <c r="P13" s="4" t="str">
        <f t="shared" si="3"/>
        <v>P87</v>
      </c>
      <c r="Q13" s="4" t="str">
        <f t="shared" si="3"/>
        <v>Q87</v>
      </c>
      <c r="U13" s="16">
        <v>-1</v>
      </c>
      <c r="V13" s="16">
        <f t="shared" ca="1" si="0"/>
        <v>7.3723619170147317E-2</v>
      </c>
      <c r="AA13" s="16">
        <v>13</v>
      </c>
      <c r="AB13" s="16" t="s">
        <v>94</v>
      </c>
    </row>
    <row r="14" spans="1:28">
      <c r="U14" s="16">
        <v>-0.5</v>
      </c>
      <c r="V14" s="16">
        <f t="shared" ca="1" si="0"/>
        <v>4.4997858495667571E-2</v>
      </c>
      <c r="AA14" s="16">
        <v>14</v>
      </c>
      <c r="AB14" s="16" t="s">
        <v>95</v>
      </c>
    </row>
    <row r="15" spans="1:28">
      <c r="A15" s="22" t="s">
        <v>99</v>
      </c>
      <c r="B15" s="22">
        <f>C9-C8+1</f>
        <v>67</v>
      </c>
      <c r="C15" s="4" t="str">
        <f t="shared" ref="C15:Q15" si="4">VLOOKUP(C16,$AA1:$AB26,2,FALSE)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16">
        <v>0</v>
      </c>
      <c r="V15" s="16">
        <f t="shared" ca="1" si="0"/>
        <v>7.4214468061546803E-3</v>
      </c>
      <c r="AA15" s="16">
        <v>15</v>
      </c>
      <c r="AB15" s="16" t="s">
        <v>96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16">
        <v>0.5</v>
      </c>
      <c r="V16" s="16">
        <f t="shared" ca="1" si="0"/>
        <v>-3.9005615898391362E-2</v>
      </c>
      <c r="AA16" s="16">
        <v>16</v>
      </c>
      <c r="AB16" s="16" t="s">
        <v>97</v>
      </c>
    </row>
    <row r="17" spans="1:28">
      <c r="A17" s="22" t="s">
        <v>98</v>
      </c>
      <c r="U17" s="16">
        <v>1</v>
      </c>
      <c r="V17" s="16">
        <f t="shared" ca="1" si="0"/>
        <v>-9.4283329617970549E-2</v>
      </c>
      <c r="AA17" s="16">
        <v>17</v>
      </c>
      <c r="AB17" s="16" t="s">
        <v>100</v>
      </c>
    </row>
    <row r="18" spans="1:28">
      <c r="A18" s="66">
        <v>10000</v>
      </c>
      <c r="B18" s="66">
        <v>1</v>
      </c>
      <c r="C18" s="16">
        <f ca="1">SUM(INDIRECT(C12):INDIRECT(C13))</f>
        <v>41.399999999999991</v>
      </c>
      <c r="D18" s="121">
        <f ca="1">SUM(INDIRECT(D12):INDIRECT(D13))</f>
        <v>-96.520800000000008</v>
      </c>
      <c r="E18" s="121">
        <f ca="1">SUM(INDIRECT(E12):INDIRECT(E13))</f>
        <v>-1.898148294963903</v>
      </c>
      <c r="F18" s="22">
        <f ca="1">SUM(INDIRECT(F12):INDIRECT(F13))</f>
        <v>-17.776505000000007</v>
      </c>
      <c r="G18" s="22">
        <f ca="1">SUM(INDIRECT(G12):INDIRECT(G13))</f>
        <v>-8.6216669461646411E-2</v>
      </c>
      <c r="H18" s="22">
        <f ca="1">SUM(INDIRECT(H12):INDIRECT(H13))</f>
        <v>106.58835980625003</v>
      </c>
      <c r="I18" s="22">
        <f ca="1">SUM(INDIRECT(I12):INDIRECT(I13))</f>
        <v>-406.35220635381643</v>
      </c>
      <c r="J18" s="22">
        <f ca="1">SUM(INDIRECT(J12):INDIRECT(J13))</f>
        <v>2170.5181129865141</v>
      </c>
      <c r="K18" s="22">
        <f ca="1">SUM(INDIRECT(K12):INDIRECT(K13))</f>
        <v>-1.8927568046931742</v>
      </c>
      <c r="L18" s="22">
        <f ca="1">SUM(INDIRECT(L12):INDIRECT(L13))</f>
        <v>-3.4949596758343375</v>
      </c>
      <c r="N18" s="16">
        <f ca="1">SUM(INDIRECT(N12):INDIRECT(N13))</f>
        <v>2.265664552999301E-3</v>
      </c>
      <c r="O18" s="16">
        <f ca="1">SQRT(SUM(INDIRECT(O12):INDIRECT(O13)))</f>
        <v>369496.99153448944</v>
      </c>
      <c r="P18" s="16">
        <f ca="1">SQRT(SUM(INDIRECT(P12):INDIRECT(P13)))</f>
        <v>413274.68184530264</v>
      </c>
      <c r="Q18" s="16">
        <f ca="1">SQRT(SUM(INDIRECT(Q12):INDIRECT(Q13)))</f>
        <v>71878.802612430314</v>
      </c>
      <c r="U18" s="16">
        <v>1.5</v>
      </c>
      <c r="V18" s="16">
        <f t="shared" ca="1" si="0"/>
        <v>-0.1584116943525829</v>
      </c>
      <c r="AA18" s="16">
        <v>18</v>
      </c>
      <c r="AB18" s="16" t="s">
        <v>101</v>
      </c>
    </row>
    <row r="19" spans="1:28">
      <c r="A19" s="67" t="s">
        <v>102</v>
      </c>
      <c r="F19" s="68" t="s">
        <v>103</v>
      </c>
      <c r="G19" s="68" t="s">
        <v>104</v>
      </c>
      <c r="H19" s="68" t="s">
        <v>105</v>
      </c>
      <c r="I19" s="68" t="s">
        <v>106</v>
      </c>
      <c r="J19" s="68" t="s">
        <v>107</v>
      </c>
      <c r="K19" s="68" t="s">
        <v>108</v>
      </c>
      <c r="L19" s="68" t="s">
        <v>109</v>
      </c>
      <c r="M19" s="69"/>
      <c r="N19" s="69"/>
      <c r="O19" s="69"/>
      <c r="P19" s="69"/>
      <c r="Q19" s="69"/>
      <c r="AA19" s="16">
        <v>19</v>
      </c>
      <c r="AB19" s="16" t="s">
        <v>110</v>
      </c>
    </row>
    <row r="20" spans="1:28" ht="15" thickBot="1">
      <c r="A20" s="7" t="s">
        <v>111</v>
      </c>
      <c r="B20" s="7" t="s">
        <v>112</v>
      </c>
      <c r="C20" s="7" t="s">
        <v>164</v>
      </c>
      <c r="D20" s="7" t="s">
        <v>111</v>
      </c>
      <c r="E20" s="7" t="s">
        <v>112</v>
      </c>
      <c r="F20" s="7" t="s">
        <v>165</v>
      </c>
      <c r="G20" s="7" t="s">
        <v>166</v>
      </c>
      <c r="H20" s="7" t="s">
        <v>174</v>
      </c>
      <c r="I20" s="7" t="s">
        <v>175</v>
      </c>
      <c r="J20" s="7" t="s">
        <v>176</v>
      </c>
      <c r="K20" s="7" t="s">
        <v>167</v>
      </c>
      <c r="L20" s="7" t="s">
        <v>177</v>
      </c>
      <c r="M20" s="70" t="s">
        <v>113</v>
      </c>
      <c r="N20" s="7" t="s">
        <v>114</v>
      </c>
      <c r="O20" s="7" t="s">
        <v>115</v>
      </c>
      <c r="P20" s="7" t="s">
        <v>116</v>
      </c>
      <c r="Q20" s="7" t="s">
        <v>117</v>
      </c>
      <c r="R20" s="44" t="s">
        <v>118</v>
      </c>
      <c r="AA20" s="16">
        <v>20</v>
      </c>
      <c r="AB20" s="16" t="s">
        <v>119</v>
      </c>
    </row>
    <row r="21" spans="1:28">
      <c r="A21" s="71">
        <v>-64995.5</v>
      </c>
      <c r="B21" s="71">
        <v>-0.16869457999928272</v>
      </c>
      <c r="C21" s="80">
        <v>0.1</v>
      </c>
      <c r="D21" s="72">
        <f t="shared" ref="D21:D84" si="5">A21/A$18</f>
        <v>-6.4995500000000002</v>
      </c>
      <c r="E21" s="72">
        <f t="shared" ref="E21:E84" si="6">B21/B$18</f>
        <v>-0.16869457999928272</v>
      </c>
      <c r="F21" s="32">
        <f t="shared" ref="F21:F84" si="7">$C21*D21</f>
        <v>-0.64995500000000006</v>
      </c>
      <c r="G21" s="32">
        <f t="shared" ref="G21:G84" si="8">$C21*E21</f>
        <v>-1.6869457999928273E-2</v>
      </c>
      <c r="H21" s="32">
        <f t="shared" ref="H21:H84" si="9">C21*D21*D21</f>
        <v>4.2244150202500004</v>
      </c>
      <c r="I21" s="32">
        <f t="shared" ref="I21:I84" si="10">C21*D21*D21*D21</f>
        <v>-27.456796644865889</v>
      </c>
      <c r="J21" s="32">
        <f t="shared" ref="J21:J84" si="11">C21*D21*D21*D21*D21</f>
        <v>178.4568226331381</v>
      </c>
      <c r="K21" s="32">
        <f t="shared" ref="K21:K84" si="12">C21*E21*D21</f>
        <v>0.10964388574343381</v>
      </c>
      <c r="L21" s="32">
        <f t="shared" ref="L21:L84" si="13">C21*E21*D21*D21</f>
        <v>-0.71263591758373523</v>
      </c>
      <c r="M21" s="32">
        <f t="shared" ref="M21:M84" ca="1" si="14">+E$4+E$5*D21+E$6*D21^2</f>
        <v>-0.19437023293387867</v>
      </c>
      <c r="N21" s="32">
        <f t="shared" ref="N21:N84" ca="1" si="15">C21*(M21-E21)^2</f>
        <v>6.5923915361782559E-5</v>
      </c>
      <c r="O21" s="122">
        <f t="shared" ref="O21:O84" ca="1" si="16">(C21*O$1-O$2*F21+O$3*H21)^2</f>
        <v>60569801.98531118</v>
      </c>
      <c r="P21" s="32">
        <f t="shared" ref="P21:P84" ca="1" si="17">(-C21*O$2+O$4*F21-O$5*H21)^2</f>
        <v>133858851.27744944</v>
      </c>
      <c r="Q21" s="32">
        <f t="shared" ref="Q21:Q84" ca="1" si="18">+(C21*O$3-F21*O$5+H21*O$6)^2</f>
        <v>51695622.226163432</v>
      </c>
      <c r="R21" s="16">
        <f t="shared" ref="R21:R84" ca="1" si="19">+E21-M21</f>
        <v>2.5675652934595949E-2</v>
      </c>
      <c r="AA21" s="16">
        <v>21</v>
      </c>
      <c r="AB21" s="16" t="s">
        <v>120</v>
      </c>
    </row>
    <row r="22" spans="1:28">
      <c r="A22" s="71">
        <v>-64995</v>
      </c>
      <c r="B22" s="71">
        <v>-0.17782625000108965</v>
      </c>
      <c r="C22" s="71">
        <v>0.1</v>
      </c>
      <c r="D22" s="72">
        <f t="shared" si="5"/>
        <v>-6.4995000000000003</v>
      </c>
      <c r="E22" s="72">
        <f t="shared" si="6"/>
        <v>-0.17782625000108965</v>
      </c>
      <c r="F22" s="32">
        <f t="shared" si="7"/>
        <v>-0.64995000000000003</v>
      </c>
      <c r="G22" s="32">
        <f t="shared" si="8"/>
        <v>-1.7782625000108965E-2</v>
      </c>
      <c r="H22" s="32">
        <f t="shared" si="9"/>
        <v>4.2243500250000006</v>
      </c>
      <c r="I22" s="32">
        <f t="shared" si="10"/>
        <v>-27.456162987487506</v>
      </c>
      <c r="J22" s="32">
        <f t="shared" si="11"/>
        <v>178.45133133717505</v>
      </c>
      <c r="K22" s="32">
        <f t="shared" si="12"/>
        <v>0.11557817118820822</v>
      </c>
      <c r="L22" s="32">
        <f t="shared" si="13"/>
        <v>-0.75120032363775935</v>
      </c>
      <c r="M22" s="32">
        <f t="shared" ca="1" si="14"/>
        <v>-0.19436292810209066</v>
      </c>
      <c r="N22" s="32">
        <f t="shared" ca="1" si="15"/>
        <v>2.7346172261612647E-5</v>
      </c>
      <c r="O22" s="122">
        <f t="shared" ca="1" si="16"/>
        <v>60565984.174770504</v>
      </c>
      <c r="P22" s="32">
        <f t="shared" ca="1" si="17"/>
        <v>133845482.29081586</v>
      </c>
      <c r="Q22" s="32">
        <f t="shared" ca="1" si="18"/>
        <v>51692866.658018023</v>
      </c>
      <c r="R22" s="16">
        <f t="shared" ca="1" si="19"/>
        <v>1.6536678101001012E-2</v>
      </c>
      <c r="AA22" s="16">
        <v>22</v>
      </c>
      <c r="AB22" s="16" t="s">
        <v>121</v>
      </c>
    </row>
    <row r="23" spans="1:28">
      <c r="A23" s="71">
        <v>-64116.5</v>
      </c>
      <c r="B23" s="71">
        <v>-0.1751704400012386</v>
      </c>
      <c r="C23" s="71">
        <v>0.1</v>
      </c>
      <c r="D23" s="72">
        <f t="shared" si="5"/>
        <v>-6.4116499999999998</v>
      </c>
      <c r="E23" s="72">
        <f t="shared" si="6"/>
        <v>-0.1751704400012386</v>
      </c>
      <c r="F23" s="32">
        <f t="shared" si="7"/>
        <v>-0.64116499999999998</v>
      </c>
      <c r="G23" s="32">
        <f t="shared" si="8"/>
        <v>-1.7517044000123862E-2</v>
      </c>
      <c r="H23" s="32">
        <f t="shared" si="9"/>
        <v>4.1109255722500002</v>
      </c>
      <c r="I23" s="32">
        <f t="shared" si="10"/>
        <v>-26.357815945316712</v>
      </c>
      <c r="J23" s="32">
        <f t="shared" si="11"/>
        <v>168.99709060578991</v>
      </c>
      <c r="K23" s="32">
        <f t="shared" si="12"/>
        <v>0.11231315516339416</v>
      </c>
      <c r="L23" s="32">
        <f t="shared" si="13"/>
        <v>-0.72011264130337616</v>
      </c>
      <c r="M23" s="32">
        <f t="shared" ca="1" si="14"/>
        <v>-0.18166502837038134</v>
      </c>
      <c r="N23" s="32">
        <f t="shared" ca="1" si="15"/>
        <v>4.2179678084604151E-6</v>
      </c>
      <c r="O23" s="122">
        <f t="shared" ca="1" si="16"/>
        <v>54090907.942500561</v>
      </c>
      <c r="P23" s="32">
        <f t="shared" ca="1" si="17"/>
        <v>111630733.7759168</v>
      </c>
      <c r="Q23" s="32">
        <f t="shared" ca="1" si="18"/>
        <v>47008128.679364681</v>
      </c>
      <c r="R23" s="16">
        <f t="shared" ca="1" si="19"/>
        <v>6.4945883691427397E-3</v>
      </c>
      <c r="AA23" s="16">
        <v>23</v>
      </c>
      <c r="AB23" s="16" t="s">
        <v>122</v>
      </c>
    </row>
    <row r="24" spans="1:28">
      <c r="A24" s="71">
        <v>-64116</v>
      </c>
      <c r="B24" s="71">
        <v>-0.16430211000260897</v>
      </c>
      <c r="C24" s="71">
        <v>0.1</v>
      </c>
      <c r="D24" s="72">
        <f t="shared" si="5"/>
        <v>-6.4116</v>
      </c>
      <c r="E24" s="72">
        <f t="shared" si="6"/>
        <v>-0.16430211000260897</v>
      </c>
      <c r="F24" s="32">
        <f t="shared" si="7"/>
        <v>-0.64116000000000006</v>
      </c>
      <c r="G24" s="32">
        <f t="shared" si="8"/>
        <v>-1.6430211000260899E-2</v>
      </c>
      <c r="H24" s="32">
        <f t="shared" si="9"/>
        <v>4.1108614560000003</v>
      </c>
      <c r="I24" s="32">
        <f t="shared" si="10"/>
        <v>-26.357199311289602</v>
      </c>
      <c r="J24" s="32">
        <f t="shared" si="11"/>
        <v>168.99181910426441</v>
      </c>
      <c r="K24" s="32">
        <f t="shared" si="12"/>
        <v>0.10534394084927277</v>
      </c>
      <c r="L24" s="32">
        <f t="shared" si="13"/>
        <v>-0.67542321114919734</v>
      </c>
      <c r="M24" s="32">
        <f t="shared" ca="1" si="14"/>
        <v>-0.18165787913303821</v>
      </c>
      <c r="N24" s="32">
        <f t="shared" ca="1" si="15"/>
        <v>3.0122272210876067E-5</v>
      </c>
      <c r="O24" s="122">
        <f t="shared" ca="1" si="16"/>
        <v>54087353.590830386</v>
      </c>
      <c r="P24" s="32">
        <f t="shared" ca="1" si="17"/>
        <v>111618802.44273426</v>
      </c>
      <c r="Q24" s="32">
        <f t="shared" ca="1" si="18"/>
        <v>47005550.389455229</v>
      </c>
      <c r="R24" s="16">
        <f t="shared" ca="1" si="19"/>
        <v>1.7355769130429244E-2</v>
      </c>
      <c r="AA24" s="16">
        <v>24</v>
      </c>
      <c r="AB24" s="16" t="s">
        <v>111</v>
      </c>
    </row>
    <row r="25" spans="1:28">
      <c r="A25" s="71">
        <v>-63215</v>
      </c>
      <c r="B25" s="71">
        <v>-0.18057145000057062</v>
      </c>
      <c r="C25" s="71">
        <v>0.1</v>
      </c>
      <c r="D25" s="72">
        <f t="shared" si="5"/>
        <v>-6.3215000000000003</v>
      </c>
      <c r="E25" s="72">
        <f t="shared" si="6"/>
        <v>-0.18057145000057062</v>
      </c>
      <c r="F25" s="32">
        <f t="shared" si="7"/>
        <v>-0.6321500000000001</v>
      </c>
      <c r="G25" s="32">
        <f t="shared" si="8"/>
        <v>-1.8057145000057062E-2</v>
      </c>
      <c r="H25" s="32">
        <f t="shared" si="9"/>
        <v>3.9961362250000008</v>
      </c>
      <c r="I25" s="32">
        <f t="shared" si="10"/>
        <v>-25.261575146337506</v>
      </c>
      <c r="J25" s="32">
        <f t="shared" si="11"/>
        <v>159.69104728757256</v>
      </c>
      <c r="K25" s="32">
        <f t="shared" si="12"/>
        <v>0.11414824211786072</v>
      </c>
      <c r="L25" s="32">
        <f t="shared" si="13"/>
        <v>-0.72158811254805655</v>
      </c>
      <c r="M25" s="32">
        <f t="shared" ca="1" si="14"/>
        <v>-0.16891873253194178</v>
      </c>
      <c r="N25" s="32">
        <f t="shared" ca="1" si="15"/>
        <v>1.3578582440368767E-5</v>
      </c>
      <c r="O25" s="122">
        <f t="shared" ca="1" si="16"/>
        <v>47918643.677856311</v>
      </c>
      <c r="P25" s="32">
        <f t="shared" ca="1" si="17"/>
        <v>91386098.671088219</v>
      </c>
      <c r="Q25" s="32">
        <f t="shared" ca="1" si="18"/>
        <v>42517722.858572505</v>
      </c>
      <c r="R25" s="16">
        <f t="shared" ca="1" si="19"/>
        <v>-1.1652717468628837E-2</v>
      </c>
      <c r="AA25" s="16">
        <v>25</v>
      </c>
      <c r="AB25" s="16" t="s">
        <v>112</v>
      </c>
    </row>
    <row r="26" spans="1:28">
      <c r="A26" s="71">
        <v>-62445</v>
      </c>
      <c r="B26" s="71">
        <v>-0.21734325000215904</v>
      </c>
      <c r="C26" s="71">
        <v>0.1</v>
      </c>
      <c r="D26" s="72">
        <f t="shared" si="5"/>
        <v>-6.2445000000000004</v>
      </c>
      <c r="E26" s="72">
        <f t="shared" si="6"/>
        <v>-0.21734325000215904</v>
      </c>
      <c r="F26" s="32">
        <f t="shared" si="7"/>
        <v>-0.62445000000000006</v>
      </c>
      <c r="G26" s="32">
        <f t="shared" si="8"/>
        <v>-2.1734325000215906E-2</v>
      </c>
      <c r="H26" s="32">
        <f t="shared" si="9"/>
        <v>3.8993780250000007</v>
      </c>
      <c r="I26" s="32">
        <f t="shared" si="10"/>
        <v>-24.349666077112506</v>
      </c>
      <c r="J26" s="32">
        <f t="shared" si="11"/>
        <v>152.05148981852906</v>
      </c>
      <c r="K26" s="32">
        <f t="shared" si="12"/>
        <v>0.13571999246384822</v>
      </c>
      <c r="L26" s="32">
        <f t="shared" si="13"/>
        <v>-0.84750349294050031</v>
      </c>
      <c r="M26" s="32">
        <f t="shared" ca="1" si="14"/>
        <v>-0.15825953883942878</v>
      </c>
      <c r="N26" s="32">
        <f t="shared" ca="1" si="15"/>
        <v>3.490884924760936E-4</v>
      </c>
      <c r="O26" s="122">
        <f t="shared" ca="1" si="16"/>
        <v>43012530.521899819</v>
      </c>
      <c r="P26" s="32">
        <f t="shared" ca="1" si="17"/>
        <v>76031740.162318259</v>
      </c>
      <c r="Q26" s="32">
        <f t="shared" ca="1" si="18"/>
        <v>38926546.548984468</v>
      </c>
      <c r="R26" s="16">
        <f t="shared" ca="1" si="19"/>
        <v>-5.9083711162730257E-2</v>
      </c>
      <c r="AA26" s="16">
        <v>26</v>
      </c>
      <c r="AB26" s="16" t="s">
        <v>123</v>
      </c>
    </row>
    <row r="27" spans="1:28">
      <c r="A27" s="71">
        <v>-62445</v>
      </c>
      <c r="B27" s="71">
        <v>-0.21734325000215904</v>
      </c>
      <c r="C27" s="71">
        <v>0.1</v>
      </c>
      <c r="D27" s="72">
        <f t="shared" si="5"/>
        <v>-6.2445000000000004</v>
      </c>
      <c r="E27" s="72">
        <f t="shared" si="6"/>
        <v>-0.21734325000215904</v>
      </c>
      <c r="F27" s="32">
        <f t="shared" si="7"/>
        <v>-0.62445000000000006</v>
      </c>
      <c r="G27" s="32">
        <f t="shared" si="8"/>
        <v>-2.1734325000215906E-2</v>
      </c>
      <c r="H27" s="32">
        <f t="shared" si="9"/>
        <v>3.8993780250000007</v>
      </c>
      <c r="I27" s="32">
        <f t="shared" si="10"/>
        <v>-24.349666077112506</v>
      </c>
      <c r="J27" s="32">
        <f t="shared" si="11"/>
        <v>152.05148981852906</v>
      </c>
      <c r="K27" s="32">
        <f t="shared" si="12"/>
        <v>0.13571999246384822</v>
      </c>
      <c r="L27" s="32">
        <f t="shared" si="13"/>
        <v>-0.84750349294050031</v>
      </c>
      <c r="M27" s="32">
        <f t="shared" ca="1" si="14"/>
        <v>-0.15825953883942878</v>
      </c>
      <c r="N27" s="32">
        <f t="shared" ca="1" si="15"/>
        <v>3.490884924760936E-4</v>
      </c>
      <c r="O27" s="122">
        <f t="shared" ca="1" si="16"/>
        <v>43012530.521899819</v>
      </c>
      <c r="P27" s="32">
        <f t="shared" ca="1" si="17"/>
        <v>76031740.162318259</v>
      </c>
      <c r="Q27" s="32">
        <f t="shared" ca="1" si="18"/>
        <v>38926546.548984468</v>
      </c>
      <c r="R27" s="16">
        <f t="shared" ca="1" si="19"/>
        <v>-5.9083711162730257E-2</v>
      </c>
    </row>
    <row r="28" spans="1:28">
      <c r="A28" s="71">
        <v>-60077.5</v>
      </c>
      <c r="B28" s="71">
        <v>-0.12980070000048727</v>
      </c>
      <c r="C28" s="71">
        <v>0.1</v>
      </c>
      <c r="D28" s="72">
        <f t="shared" si="5"/>
        <v>-6.0077499999999997</v>
      </c>
      <c r="E28" s="72">
        <f t="shared" si="6"/>
        <v>-0.12980070000048727</v>
      </c>
      <c r="F28" s="32">
        <f t="shared" si="7"/>
        <v>-0.60077500000000006</v>
      </c>
      <c r="G28" s="32">
        <f t="shared" si="8"/>
        <v>-1.2980070000048728E-2</v>
      </c>
      <c r="H28" s="32">
        <f t="shared" si="9"/>
        <v>3.6093060062500002</v>
      </c>
      <c r="I28" s="32">
        <f t="shared" si="10"/>
        <v>-21.683808159048439</v>
      </c>
      <c r="J28" s="32">
        <f t="shared" si="11"/>
        <v>130.27089846752327</v>
      </c>
      <c r="K28" s="32">
        <f t="shared" si="12"/>
        <v>7.7981015542792742E-2</v>
      </c>
      <c r="L28" s="32">
        <f t="shared" si="13"/>
        <v>-0.46849044612721308</v>
      </c>
      <c r="M28" s="32">
        <f t="shared" ca="1" si="14"/>
        <v>-0.12680083725857394</v>
      </c>
      <c r="N28" s="32">
        <f t="shared" ca="1" si="15"/>
        <v>8.999176470319753E-7</v>
      </c>
      <c r="O28" s="122">
        <f t="shared" ca="1" si="16"/>
        <v>29922480.105367538</v>
      </c>
      <c r="P28" s="32">
        <f t="shared" ca="1" si="17"/>
        <v>39035132.68683853</v>
      </c>
      <c r="Q28" s="32">
        <f t="shared" ca="1" si="18"/>
        <v>29205226.209244732</v>
      </c>
      <c r="R28" s="16">
        <f t="shared" ca="1" si="19"/>
        <v>-2.9998627419133284E-3</v>
      </c>
    </row>
    <row r="29" spans="1:28">
      <c r="A29" s="71">
        <v>-60077</v>
      </c>
      <c r="B29" s="71">
        <v>-0.12193236999883084</v>
      </c>
      <c r="C29" s="71">
        <v>0.1</v>
      </c>
      <c r="D29" s="72">
        <f t="shared" si="5"/>
        <v>-6.0076999999999998</v>
      </c>
      <c r="E29" s="72">
        <f t="shared" si="6"/>
        <v>-0.12193236999883084</v>
      </c>
      <c r="F29" s="32">
        <f t="shared" si="7"/>
        <v>-0.60077000000000003</v>
      </c>
      <c r="G29" s="32">
        <f t="shared" si="8"/>
        <v>-1.2193236999883084E-2</v>
      </c>
      <c r="H29" s="32">
        <f t="shared" si="9"/>
        <v>3.6092459290000001</v>
      </c>
      <c r="I29" s="32">
        <f t="shared" si="10"/>
        <v>-21.683266767653301</v>
      </c>
      <c r="J29" s="32">
        <f t="shared" si="11"/>
        <v>130.26656176003073</v>
      </c>
      <c r="K29" s="32">
        <f t="shared" si="12"/>
        <v>7.3253309924197596E-2</v>
      </c>
      <c r="L29" s="32">
        <f t="shared" si="13"/>
        <v>-0.44008391003160191</v>
      </c>
      <c r="M29" s="32">
        <f t="shared" ca="1" si="14"/>
        <v>-0.12679440297681988</v>
      </c>
      <c r="N29" s="32">
        <f t="shared" ca="1" si="15"/>
        <v>2.3639364679052967E-6</v>
      </c>
      <c r="O29" s="122">
        <f t="shared" ca="1" si="16"/>
        <v>29920019.33418664</v>
      </c>
      <c r="P29" s="32">
        <f t="shared" ca="1" si="17"/>
        <v>39028830.723584212</v>
      </c>
      <c r="Q29" s="32">
        <f t="shared" ca="1" si="18"/>
        <v>29203372.812019128</v>
      </c>
      <c r="R29" s="16">
        <f t="shared" ca="1" si="19"/>
        <v>4.8620329779890392E-3</v>
      </c>
    </row>
    <row r="30" spans="1:28">
      <c r="A30" s="71">
        <v>-58944.5</v>
      </c>
      <c r="B30" s="71">
        <v>-0.10816491999867139</v>
      </c>
      <c r="C30" s="71">
        <v>0.1</v>
      </c>
      <c r="D30" s="72">
        <f t="shared" si="5"/>
        <v>-5.89445</v>
      </c>
      <c r="E30" s="72">
        <f t="shared" si="6"/>
        <v>-0.10816491999867139</v>
      </c>
      <c r="F30" s="32">
        <f t="shared" si="7"/>
        <v>-0.589445</v>
      </c>
      <c r="G30" s="32">
        <f t="shared" si="8"/>
        <v>-1.081649199986714E-2</v>
      </c>
      <c r="H30" s="32">
        <f t="shared" si="9"/>
        <v>3.4744540802500001</v>
      </c>
      <c r="I30" s="32">
        <f t="shared" si="10"/>
        <v>-20.479995853329612</v>
      </c>
      <c r="J30" s="32">
        <f t="shared" si="11"/>
        <v>120.71831155765874</v>
      </c>
      <c r="K30" s="32">
        <f t="shared" si="12"/>
        <v>6.3757271268616855E-2</v>
      </c>
      <c r="L30" s="32">
        <f t="shared" si="13"/>
        <v>-0.3758140476292986</v>
      </c>
      <c r="M30" s="32">
        <f t="shared" ca="1" si="14"/>
        <v>-0.11244788419279927</v>
      </c>
      <c r="N30" s="32">
        <f t="shared" ca="1" si="15"/>
        <v>1.8343782288181487E-6</v>
      </c>
      <c r="O30" s="122">
        <f t="shared" ca="1" si="16"/>
        <v>24658746.181537107</v>
      </c>
      <c r="P30" s="32">
        <f t="shared" ca="1" si="17"/>
        <v>26256385.719773717</v>
      </c>
      <c r="Q30" s="32">
        <f t="shared" ca="1" si="18"/>
        <v>25209110.234057881</v>
      </c>
      <c r="R30" s="16">
        <f t="shared" ca="1" si="19"/>
        <v>4.2829641941278807E-3</v>
      </c>
    </row>
    <row r="31" spans="1:28">
      <c r="A31" s="71">
        <v>-58944</v>
      </c>
      <c r="B31" s="71">
        <v>-0.10829658999864478</v>
      </c>
      <c r="C31" s="71">
        <v>0.1</v>
      </c>
      <c r="D31" s="72">
        <f t="shared" si="5"/>
        <v>-5.8944000000000001</v>
      </c>
      <c r="E31" s="72">
        <f t="shared" si="6"/>
        <v>-0.10829658999864478</v>
      </c>
      <c r="F31" s="32">
        <f t="shared" si="7"/>
        <v>-0.58944000000000007</v>
      </c>
      <c r="G31" s="32">
        <f t="shared" si="8"/>
        <v>-1.0829658999864478E-2</v>
      </c>
      <c r="H31" s="32">
        <f t="shared" si="9"/>
        <v>3.4743951360000005</v>
      </c>
      <c r="I31" s="32">
        <f t="shared" si="10"/>
        <v>-20.479474689638405</v>
      </c>
      <c r="J31" s="32">
        <f t="shared" si="11"/>
        <v>120.71421561060461</v>
      </c>
      <c r="K31" s="32">
        <f t="shared" si="12"/>
        <v>6.3834342008801184E-2</v>
      </c>
      <c r="L31" s="32">
        <f t="shared" si="13"/>
        <v>-0.37626514553667773</v>
      </c>
      <c r="M31" s="32">
        <f t="shared" ca="1" si="14"/>
        <v>-0.11244165046679733</v>
      </c>
      <c r="N31" s="32">
        <f t="shared" ca="1" si="15"/>
        <v>1.7181526284641042E-6</v>
      </c>
      <c r="O31" s="122">
        <f t="shared" ca="1" si="16"/>
        <v>24656558.871385824</v>
      </c>
      <c r="P31" s="32">
        <f t="shared" ca="1" si="17"/>
        <v>26251390.571566604</v>
      </c>
      <c r="Q31" s="32">
        <f t="shared" ca="1" si="18"/>
        <v>25207434.908615679</v>
      </c>
      <c r="R31" s="16">
        <f t="shared" ca="1" si="19"/>
        <v>4.1450604681525505E-3</v>
      </c>
    </row>
    <row r="32" spans="1:28">
      <c r="A32" s="71">
        <v>-57948</v>
      </c>
      <c r="B32" s="71">
        <v>-9.758322999914526E-2</v>
      </c>
      <c r="C32" s="71">
        <v>0.1</v>
      </c>
      <c r="D32" s="72">
        <f t="shared" si="5"/>
        <v>-5.7948000000000004</v>
      </c>
      <c r="E32" s="72">
        <f t="shared" si="6"/>
        <v>-9.758322999914526E-2</v>
      </c>
      <c r="F32" s="32">
        <f t="shared" si="7"/>
        <v>-0.57948000000000011</v>
      </c>
      <c r="G32" s="32">
        <f t="shared" si="8"/>
        <v>-9.758322999914526E-3</v>
      </c>
      <c r="H32" s="32">
        <f t="shared" si="9"/>
        <v>3.3579707040000009</v>
      </c>
      <c r="I32" s="32">
        <f t="shared" si="10"/>
        <v>-19.458768635539208</v>
      </c>
      <c r="J32" s="32">
        <f t="shared" si="11"/>
        <v>112.75967248922261</v>
      </c>
      <c r="K32" s="32">
        <f t="shared" si="12"/>
        <v>5.6547530119904696E-2</v>
      </c>
      <c r="L32" s="32">
        <f t="shared" si="13"/>
        <v>-0.32768162753882374</v>
      </c>
      <c r="M32" s="32">
        <f t="shared" ca="1" si="14"/>
        <v>-0.10019975617133631</v>
      </c>
      <c r="N32" s="32">
        <f t="shared" ca="1" si="15"/>
        <v>6.8462092097607339E-7</v>
      </c>
      <c r="O32" s="122">
        <f t="shared" ca="1" si="16"/>
        <v>20529210.905293677</v>
      </c>
      <c r="P32" s="32">
        <f t="shared" ca="1" si="17"/>
        <v>17367607.553070374</v>
      </c>
      <c r="Q32" s="32">
        <f t="shared" ca="1" si="18"/>
        <v>22018837.228702135</v>
      </c>
      <c r="R32" s="16">
        <f t="shared" ca="1" si="19"/>
        <v>2.6165261721910471E-3</v>
      </c>
    </row>
    <row r="33" spans="1:18">
      <c r="A33" s="71">
        <v>-57947.5</v>
      </c>
      <c r="B33" s="71">
        <v>-9.0714900001330534E-2</v>
      </c>
      <c r="C33" s="71">
        <v>0.1</v>
      </c>
      <c r="D33" s="72">
        <f t="shared" si="5"/>
        <v>-5.7947499999999996</v>
      </c>
      <c r="E33" s="72">
        <f t="shared" si="6"/>
        <v>-9.0714900001330534E-2</v>
      </c>
      <c r="F33" s="32">
        <f t="shared" si="7"/>
        <v>-0.57947499999999996</v>
      </c>
      <c r="G33" s="32">
        <f t="shared" si="8"/>
        <v>-9.0714900001330531E-3</v>
      </c>
      <c r="H33" s="32">
        <f t="shared" si="9"/>
        <v>3.3579127562499997</v>
      </c>
      <c r="I33" s="32">
        <f t="shared" si="10"/>
        <v>-19.458264944279684</v>
      </c>
      <c r="J33" s="32">
        <f t="shared" si="11"/>
        <v>112.75578078586469</v>
      </c>
      <c r="K33" s="32">
        <f t="shared" si="12"/>
        <v>5.2567016678271003E-2</v>
      </c>
      <c r="L33" s="32">
        <f t="shared" si="13"/>
        <v>-0.30461271989641087</v>
      </c>
      <c r="M33" s="32">
        <f t="shared" ca="1" si="14"/>
        <v>-0.10019369883880891</v>
      </c>
      <c r="N33" s="32">
        <f t="shared" ca="1" si="15"/>
        <v>8.9847627401381382E-6</v>
      </c>
      <c r="O33" s="122">
        <f t="shared" ca="1" si="16"/>
        <v>20527252.498014618</v>
      </c>
      <c r="P33" s="32">
        <f t="shared" ca="1" si="17"/>
        <v>17363669.002259526</v>
      </c>
      <c r="Q33" s="32">
        <f t="shared" ca="1" si="18"/>
        <v>22017309.809341583</v>
      </c>
      <c r="R33" s="16">
        <f t="shared" ca="1" si="19"/>
        <v>9.4787988374783749E-3</v>
      </c>
    </row>
    <row r="34" spans="1:18">
      <c r="A34" s="71">
        <v>-54929.5</v>
      </c>
      <c r="B34" s="71">
        <v>-7.7475019999837968E-2</v>
      </c>
      <c r="C34" s="71">
        <v>0.1</v>
      </c>
      <c r="D34" s="72">
        <f t="shared" si="5"/>
        <v>-5.4929500000000004</v>
      </c>
      <c r="E34" s="72">
        <f t="shared" si="6"/>
        <v>-7.7475019999837968E-2</v>
      </c>
      <c r="F34" s="32">
        <f t="shared" si="7"/>
        <v>-0.54929500000000009</v>
      </c>
      <c r="G34" s="32">
        <f t="shared" si="8"/>
        <v>-7.7475019999837975E-3</v>
      </c>
      <c r="H34" s="32">
        <f t="shared" si="9"/>
        <v>3.0172499702500009</v>
      </c>
      <c r="I34" s="32">
        <f t="shared" si="10"/>
        <v>-16.573603224084742</v>
      </c>
      <c r="J34" s="32">
        <f t="shared" si="11"/>
        <v>91.037973829736288</v>
      </c>
      <c r="K34" s="32">
        <f t="shared" si="12"/>
        <v>4.2556641110811005E-2</v>
      </c>
      <c r="L34" s="32">
        <f t="shared" si="13"/>
        <v>-0.23376150178962934</v>
      </c>
      <c r="M34" s="32">
        <f t="shared" ca="1" si="14"/>
        <v>-6.5244198757037464E-2</v>
      </c>
      <c r="N34" s="32">
        <f t="shared" ca="1" si="15"/>
        <v>1.4959298827334009E-5</v>
      </c>
      <c r="O34" s="122">
        <f t="shared" ca="1" si="16"/>
        <v>10652954.135605967</v>
      </c>
      <c r="P34" s="32">
        <f t="shared" ca="1" si="17"/>
        <v>2104147.1708527049</v>
      </c>
      <c r="Q34" s="32">
        <f t="shared" ca="1" si="18"/>
        <v>14041376.482576778</v>
      </c>
      <c r="R34" s="16">
        <f t="shared" ca="1" si="19"/>
        <v>-1.2230821242800505E-2</v>
      </c>
    </row>
    <row r="35" spans="1:18">
      <c r="A35" s="71">
        <v>-21354</v>
      </c>
      <c r="B35" s="71">
        <v>0.10965281000244431</v>
      </c>
      <c r="C35" s="71">
        <v>1</v>
      </c>
      <c r="D35" s="72">
        <f t="shared" si="5"/>
        <v>-2.1354000000000002</v>
      </c>
      <c r="E35" s="72">
        <f t="shared" si="6"/>
        <v>0.10965281000244431</v>
      </c>
      <c r="F35" s="32">
        <f t="shared" si="7"/>
        <v>-2.1354000000000002</v>
      </c>
      <c r="G35" s="32">
        <f t="shared" si="8"/>
        <v>0.10965281000244431</v>
      </c>
      <c r="H35" s="32">
        <f t="shared" si="9"/>
        <v>4.5599331600000008</v>
      </c>
      <c r="I35" s="32">
        <f t="shared" si="10"/>
        <v>-9.7372812698640026</v>
      </c>
      <c r="J35" s="32">
        <f t="shared" si="11"/>
        <v>20.792990423667593</v>
      </c>
      <c r="K35" s="32">
        <f t="shared" si="12"/>
        <v>-0.23415261047921959</v>
      </c>
      <c r="L35" s="32">
        <f t="shared" si="13"/>
        <v>0.50000948441732551</v>
      </c>
      <c r="M35" s="32">
        <f t="shared" ca="1" si="14"/>
        <v>0.10608571192515347</v>
      </c>
      <c r="N35" s="32">
        <f t="shared" ca="1" si="15"/>
        <v>1.2724188693012044E-5</v>
      </c>
      <c r="O35" s="122">
        <f t="shared" ca="1" si="16"/>
        <v>3301587734.2396235</v>
      </c>
      <c r="P35" s="32">
        <f t="shared" ca="1" si="17"/>
        <v>10874726917.257065</v>
      </c>
      <c r="Q35" s="32">
        <f t="shared" ca="1" si="18"/>
        <v>300479268.41686463</v>
      </c>
      <c r="R35" s="16">
        <f t="shared" ca="1" si="19"/>
        <v>3.567098077290845E-3</v>
      </c>
    </row>
    <row r="36" spans="1:18">
      <c r="A36" s="71">
        <v>-21354</v>
      </c>
      <c r="B36" s="71">
        <v>0.10995281000214163</v>
      </c>
      <c r="C36" s="71">
        <v>1</v>
      </c>
      <c r="D36" s="72">
        <f t="shared" si="5"/>
        <v>-2.1354000000000002</v>
      </c>
      <c r="E36" s="72">
        <f t="shared" si="6"/>
        <v>0.10995281000214163</v>
      </c>
      <c r="F36" s="32">
        <f t="shared" si="7"/>
        <v>-2.1354000000000002</v>
      </c>
      <c r="G36" s="32">
        <f t="shared" si="8"/>
        <v>0.10995281000214163</v>
      </c>
      <c r="H36" s="32">
        <f t="shared" si="9"/>
        <v>4.5599331600000008</v>
      </c>
      <c r="I36" s="32">
        <f t="shared" si="10"/>
        <v>-9.7372812698640026</v>
      </c>
      <c r="J36" s="32">
        <f t="shared" si="11"/>
        <v>20.792990423667593</v>
      </c>
      <c r="K36" s="32">
        <f t="shared" si="12"/>
        <v>-0.23479323047857326</v>
      </c>
      <c r="L36" s="32">
        <f t="shared" si="13"/>
        <v>0.50137746436394537</v>
      </c>
      <c r="M36" s="32">
        <f t="shared" ca="1" si="14"/>
        <v>0.10608571192515347</v>
      </c>
      <c r="N36" s="32">
        <f t="shared" ca="1" si="15"/>
        <v>1.4954447537045566E-5</v>
      </c>
      <c r="O36" s="122">
        <f t="shared" ca="1" si="16"/>
        <v>3301587734.2396235</v>
      </c>
      <c r="P36" s="32">
        <f t="shared" ca="1" si="17"/>
        <v>10874726917.257065</v>
      </c>
      <c r="Q36" s="32">
        <f t="shared" ca="1" si="18"/>
        <v>300479268.41686463</v>
      </c>
      <c r="R36" s="16">
        <f t="shared" ca="1" si="19"/>
        <v>3.8670980769881652E-3</v>
      </c>
    </row>
    <row r="37" spans="1:18">
      <c r="A37" s="71">
        <v>-21237</v>
      </c>
      <c r="B37" s="71">
        <v>0.10834203000558773</v>
      </c>
      <c r="C37" s="71">
        <v>1</v>
      </c>
      <c r="D37" s="72">
        <f t="shared" si="5"/>
        <v>-2.1236999999999999</v>
      </c>
      <c r="E37" s="72">
        <f t="shared" si="6"/>
        <v>0.10834203000558773</v>
      </c>
      <c r="F37" s="32">
        <f t="shared" si="7"/>
        <v>-2.1236999999999999</v>
      </c>
      <c r="G37" s="32">
        <f t="shared" si="8"/>
        <v>0.10834203000558773</v>
      </c>
      <c r="H37" s="32">
        <f t="shared" si="9"/>
        <v>4.5101016899999999</v>
      </c>
      <c r="I37" s="32">
        <f t="shared" si="10"/>
        <v>-9.578102959053</v>
      </c>
      <c r="J37" s="32">
        <f t="shared" si="11"/>
        <v>20.341017254140855</v>
      </c>
      <c r="K37" s="32">
        <f t="shared" si="12"/>
        <v>-0.23008596912286666</v>
      </c>
      <c r="L37" s="32">
        <f t="shared" si="13"/>
        <v>0.48863357262623192</v>
      </c>
      <c r="M37" s="32">
        <f t="shared" ca="1" si="14"/>
        <v>0.10598495317581516</v>
      </c>
      <c r="N37" s="32">
        <f t="shared" ca="1" si="15"/>
        <v>5.555811181450708E-6</v>
      </c>
      <c r="O37" s="122">
        <f t="shared" ca="1" si="16"/>
        <v>3318947237.8647842</v>
      </c>
      <c r="P37" s="32">
        <f t="shared" ca="1" si="17"/>
        <v>10838355435.721851</v>
      </c>
      <c r="Q37" s="32">
        <f t="shared" ca="1" si="18"/>
        <v>301502419.46791673</v>
      </c>
      <c r="R37" s="16">
        <f t="shared" ca="1" si="19"/>
        <v>2.3570768297725697E-3</v>
      </c>
    </row>
    <row r="38" spans="1:18">
      <c r="A38" s="71">
        <v>-20427</v>
      </c>
      <c r="B38" s="71">
        <v>0.10893663000024389</v>
      </c>
      <c r="C38" s="71">
        <v>1</v>
      </c>
      <c r="D38" s="72">
        <f t="shared" si="5"/>
        <v>-2.0427</v>
      </c>
      <c r="E38" s="72">
        <f t="shared" si="6"/>
        <v>0.10893663000024389</v>
      </c>
      <c r="F38" s="32">
        <f t="shared" si="7"/>
        <v>-2.0427</v>
      </c>
      <c r="G38" s="32">
        <f t="shared" si="8"/>
        <v>0.10893663000024389</v>
      </c>
      <c r="H38" s="32">
        <f t="shared" si="9"/>
        <v>4.1726232899999998</v>
      </c>
      <c r="I38" s="32">
        <f t="shared" si="10"/>
        <v>-8.523417594483</v>
      </c>
      <c r="J38" s="32">
        <f t="shared" si="11"/>
        <v>17.410785120250424</v>
      </c>
      <c r="K38" s="32">
        <f t="shared" si="12"/>
        <v>-0.22252485410149819</v>
      </c>
      <c r="L38" s="32">
        <f t="shared" si="13"/>
        <v>0.45455151947313033</v>
      </c>
      <c r="M38" s="32">
        <f t="shared" ca="1" si="14"/>
        <v>0.10515447883691992</v>
      </c>
      <c r="N38" s="32">
        <f t="shared" ca="1" si="15"/>
        <v>1.4304667422232911E-5</v>
      </c>
      <c r="O38" s="122">
        <f t="shared" ca="1" si="16"/>
        <v>3436733226.415132</v>
      </c>
      <c r="P38" s="32">
        <f t="shared" ca="1" si="17"/>
        <v>10565168165.171385</v>
      </c>
      <c r="Q38" s="32">
        <f t="shared" ca="1" si="18"/>
        <v>307553585.81051093</v>
      </c>
      <c r="R38" s="16">
        <f t="shared" ca="1" si="19"/>
        <v>3.7821511633239768E-3</v>
      </c>
    </row>
    <row r="39" spans="1:18">
      <c r="A39" s="71">
        <v>-20427</v>
      </c>
      <c r="B39" s="71">
        <v>0.11003663000155939</v>
      </c>
      <c r="C39" s="71">
        <v>1</v>
      </c>
      <c r="D39" s="72">
        <f t="shared" si="5"/>
        <v>-2.0427</v>
      </c>
      <c r="E39" s="72">
        <f t="shared" si="6"/>
        <v>0.11003663000155939</v>
      </c>
      <c r="F39" s="32">
        <f t="shared" si="7"/>
        <v>-2.0427</v>
      </c>
      <c r="G39" s="32">
        <f t="shared" si="8"/>
        <v>0.11003663000155939</v>
      </c>
      <c r="H39" s="32">
        <f t="shared" si="9"/>
        <v>4.1726232899999998</v>
      </c>
      <c r="I39" s="32">
        <f t="shared" si="10"/>
        <v>-8.523417594483</v>
      </c>
      <c r="J39" s="32">
        <f t="shared" si="11"/>
        <v>17.410785120250424</v>
      </c>
      <c r="K39" s="32">
        <f t="shared" si="12"/>
        <v>-0.22477182410418536</v>
      </c>
      <c r="L39" s="32">
        <f t="shared" si="13"/>
        <v>0.45914140509761941</v>
      </c>
      <c r="M39" s="32">
        <f t="shared" ca="1" si="14"/>
        <v>0.10515447883691992</v>
      </c>
      <c r="N39" s="32">
        <f t="shared" ca="1" si="15"/>
        <v>2.3835399994390533E-5</v>
      </c>
      <c r="O39" s="122">
        <f t="shared" ca="1" si="16"/>
        <v>3436733226.415132</v>
      </c>
      <c r="P39" s="32">
        <f t="shared" ca="1" si="17"/>
        <v>10565168165.171385</v>
      </c>
      <c r="Q39" s="32">
        <f t="shared" ca="1" si="18"/>
        <v>307553585.81051093</v>
      </c>
      <c r="R39" s="16">
        <f t="shared" ca="1" si="19"/>
        <v>4.88215116463947E-3</v>
      </c>
    </row>
    <row r="40" spans="1:18">
      <c r="A40" s="71">
        <v>-20179.5</v>
      </c>
      <c r="B40" s="71">
        <v>0.10815998000180116</v>
      </c>
      <c r="C40" s="71">
        <v>1</v>
      </c>
      <c r="D40" s="72">
        <f t="shared" si="5"/>
        <v>-2.0179499999999999</v>
      </c>
      <c r="E40" s="72">
        <f t="shared" si="6"/>
        <v>0.10815998000180116</v>
      </c>
      <c r="F40" s="32">
        <f t="shared" si="7"/>
        <v>-2.0179499999999999</v>
      </c>
      <c r="G40" s="32">
        <f t="shared" si="8"/>
        <v>0.10815998000180116</v>
      </c>
      <c r="H40" s="32">
        <f t="shared" si="9"/>
        <v>4.0721222024999992</v>
      </c>
      <c r="I40" s="32">
        <f t="shared" si="10"/>
        <v>-8.2173389985348724</v>
      </c>
      <c r="J40" s="32">
        <f t="shared" si="11"/>
        <v>16.582179232093445</v>
      </c>
      <c r="K40" s="32">
        <f t="shared" si="12"/>
        <v>-0.21826143164463463</v>
      </c>
      <c r="L40" s="32">
        <f t="shared" si="13"/>
        <v>0.44044065598729043</v>
      </c>
      <c r="M40" s="32">
        <f t="shared" ca="1" si="14"/>
        <v>0.10485439294985457</v>
      </c>
      <c r="N40" s="32">
        <f t="shared" ca="1" si="15"/>
        <v>1.0926905757996912E-5</v>
      </c>
      <c r="O40" s="122">
        <f t="shared" ca="1" si="16"/>
        <v>3471856740.9243202</v>
      </c>
      <c r="P40" s="32">
        <f t="shared" ca="1" si="17"/>
        <v>10474390704.15871</v>
      </c>
      <c r="Q40" s="32">
        <f t="shared" ca="1" si="18"/>
        <v>309037439.19025499</v>
      </c>
      <c r="R40" s="16">
        <f t="shared" ca="1" si="19"/>
        <v>3.3055870519465846E-3</v>
      </c>
    </row>
    <row r="41" spans="1:18">
      <c r="A41" s="71">
        <v>-20176.5</v>
      </c>
      <c r="B41" s="71">
        <v>0.10856996000075014</v>
      </c>
      <c r="C41" s="71">
        <v>1</v>
      </c>
      <c r="D41" s="72">
        <f t="shared" si="5"/>
        <v>-2.0176500000000002</v>
      </c>
      <c r="E41" s="72">
        <f t="shared" si="6"/>
        <v>0.10856996000075014</v>
      </c>
      <c r="F41" s="32">
        <f t="shared" si="7"/>
        <v>-2.0176500000000002</v>
      </c>
      <c r="G41" s="32">
        <f t="shared" si="8"/>
        <v>0.10856996000075014</v>
      </c>
      <c r="H41" s="32">
        <f t="shared" si="9"/>
        <v>4.0709115225000003</v>
      </c>
      <c r="I41" s="32">
        <f t="shared" si="10"/>
        <v>-8.2136746333721256</v>
      </c>
      <c r="J41" s="32">
        <f t="shared" si="11"/>
        <v>16.57232062402327</v>
      </c>
      <c r="K41" s="32">
        <f t="shared" si="12"/>
        <v>-0.21905617979551353</v>
      </c>
      <c r="L41" s="32">
        <f t="shared" si="13"/>
        <v>0.4419787011644179</v>
      </c>
      <c r="M41" s="32">
        <f t="shared" ca="1" si="14"/>
        <v>0.10485062251987814</v>
      </c>
      <c r="N41" s="32">
        <f t="shared" ca="1" si="15"/>
        <v>1.3833471296619261E-5</v>
      </c>
      <c r="O41" s="122">
        <f t="shared" ca="1" si="16"/>
        <v>3472279911.3933177</v>
      </c>
      <c r="P41" s="32">
        <f t="shared" ca="1" si="17"/>
        <v>10473269811.915573</v>
      </c>
      <c r="Q41" s="32">
        <f t="shared" ca="1" si="18"/>
        <v>309054364.72432768</v>
      </c>
      <c r="R41" s="16">
        <f t="shared" ca="1" si="19"/>
        <v>3.7193374808719981E-3</v>
      </c>
    </row>
    <row r="42" spans="1:18">
      <c r="A42" s="71">
        <v>-20176.5</v>
      </c>
      <c r="B42" s="71">
        <v>0.10876996000297368</v>
      </c>
      <c r="C42" s="71">
        <v>0.4</v>
      </c>
      <c r="D42" s="72">
        <f t="shared" si="5"/>
        <v>-2.0176500000000002</v>
      </c>
      <c r="E42" s="72">
        <f t="shared" si="6"/>
        <v>0.10876996000297368</v>
      </c>
      <c r="F42" s="32">
        <f t="shared" si="7"/>
        <v>-0.80706000000000011</v>
      </c>
      <c r="G42" s="32">
        <f t="shared" si="8"/>
        <v>4.3507984001189472E-2</v>
      </c>
      <c r="H42" s="32">
        <f t="shared" si="9"/>
        <v>1.6283646090000004</v>
      </c>
      <c r="I42" s="32">
        <f t="shared" si="10"/>
        <v>-3.2854698533488511</v>
      </c>
      <c r="J42" s="32">
        <f t="shared" si="11"/>
        <v>6.6289282496093103</v>
      </c>
      <c r="K42" s="32">
        <f t="shared" si="12"/>
        <v>-8.7783883919999944E-2</v>
      </c>
      <c r="L42" s="32">
        <f t="shared" si="13"/>
        <v>0.17711715339118791</v>
      </c>
      <c r="M42" s="32">
        <f t="shared" ca="1" si="14"/>
        <v>0.10485062251987814</v>
      </c>
      <c r="N42" s="32">
        <f t="shared" ca="1" si="15"/>
        <v>6.1444825225590436E-6</v>
      </c>
      <c r="O42" s="122">
        <f t="shared" ca="1" si="16"/>
        <v>555564785.82293105</v>
      </c>
      <c r="P42" s="32">
        <f t="shared" ca="1" si="17"/>
        <v>1675723169.9064915</v>
      </c>
      <c r="Q42" s="32">
        <f t="shared" ca="1" si="18"/>
        <v>49448698.355892457</v>
      </c>
      <c r="R42" s="16">
        <f t="shared" ca="1" si="19"/>
        <v>3.9193374830955308E-3</v>
      </c>
    </row>
    <row r="43" spans="1:18">
      <c r="A43" s="71">
        <v>-20173.5</v>
      </c>
      <c r="B43" s="71">
        <v>0.10837994000030449</v>
      </c>
      <c r="C43" s="71">
        <v>1</v>
      </c>
      <c r="D43" s="72">
        <f t="shared" si="5"/>
        <v>-2.01735</v>
      </c>
      <c r="E43" s="72">
        <f t="shared" si="6"/>
        <v>0.10837994000030449</v>
      </c>
      <c r="F43" s="32">
        <f t="shared" si="7"/>
        <v>-2.01735</v>
      </c>
      <c r="G43" s="32">
        <f t="shared" si="8"/>
        <v>0.10837994000030449</v>
      </c>
      <c r="H43" s="32">
        <f t="shared" si="9"/>
        <v>4.0697010225000003</v>
      </c>
      <c r="I43" s="32">
        <f t="shared" si="10"/>
        <v>-8.2100113577403757</v>
      </c>
      <c r="J43" s="32">
        <f t="shared" si="11"/>
        <v>16.562466412537546</v>
      </c>
      <c r="K43" s="32">
        <f t="shared" si="12"/>
        <v>-0.21864027195961425</v>
      </c>
      <c r="L43" s="32">
        <f t="shared" si="13"/>
        <v>0.44107395263772781</v>
      </c>
      <c r="M43" s="32">
        <f t="shared" ca="1" si="14"/>
        <v>0.1048468489036673</v>
      </c>
      <c r="N43" s="32">
        <f t="shared" ca="1" si="15"/>
        <v>1.2482732697136956E-5</v>
      </c>
      <c r="O43" s="122">
        <f t="shared" ca="1" si="16"/>
        <v>3472703019.8731046</v>
      </c>
      <c r="P43" s="32">
        <f t="shared" ca="1" si="17"/>
        <v>10472148429.694117</v>
      </c>
      <c r="Q43" s="32">
        <f t="shared" ca="1" si="18"/>
        <v>309071264.79372078</v>
      </c>
      <c r="R43" s="16">
        <f t="shared" ca="1" si="19"/>
        <v>3.5330910966371865E-3</v>
      </c>
    </row>
    <row r="44" spans="1:18">
      <c r="A44" s="71">
        <v>-20171</v>
      </c>
      <c r="B44" s="71">
        <v>0.10802159000013489</v>
      </c>
      <c r="C44" s="71">
        <v>1</v>
      </c>
      <c r="D44" s="72">
        <f t="shared" si="5"/>
        <v>-2.0171000000000001</v>
      </c>
      <c r="E44" s="72">
        <f t="shared" si="6"/>
        <v>0.10802159000013489</v>
      </c>
      <c r="F44" s="32">
        <f t="shared" si="7"/>
        <v>-2.0171000000000001</v>
      </c>
      <c r="G44" s="32">
        <f t="shared" si="8"/>
        <v>0.10802159000013489</v>
      </c>
      <c r="H44" s="32">
        <f t="shared" si="9"/>
        <v>4.0686924100000006</v>
      </c>
      <c r="I44" s="32">
        <f t="shared" si="10"/>
        <v>-8.2069594602110012</v>
      </c>
      <c r="J44" s="32">
        <f t="shared" si="11"/>
        <v>16.55425792719161</v>
      </c>
      <c r="K44" s="32">
        <f t="shared" si="12"/>
        <v>-0.21789034918927211</v>
      </c>
      <c r="L44" s="32">
        <f t="shared" si="13"/>
        <v>0.43950662334968077</v>
      </c>
      <c r="M44" s="32">
        <f t="shared" ca="1" si="14"/>
        <v>0.10484370178956258</v>
      </c>
      <c r="N44" s="32">
        <f t="shared" ca="1" si="15"/>
        <v>1.0098973478894499E-5</v>
      </c>
      <c r="O44" s="122">
        <f t="shared" ca="1" si="16"/>
        <v>3473055562.9084821</v>
      </c>
      <c r="P44" s="32">
        <f t="shared" ca="1" si="17"/>
        <v>10471213570.284302</v>
      </c>
      <c r="Q44" s="32">
        <f t="shared" ca="1" si="18"/>
        <v>309085328.73116159</v>
      </c>
      <c r="R44" s="16">
        <f t="shared" ca="1" si="19"/>
        <v>3.1778882105723133E-3</v>
      </c>
    </row>
    <row r="45" spans="1:18">
      <c r="A45" s="71">
        <v>-20171</v>
      </c>
      <c r="B45" s="71">
        <v>0.10852158999477979</v>
      </c>
      <c r="C45" s="71">
        <v>1</v>
      </c>
      <c r="D45" s="72">
        <f t="shared" si="5"/>
        <v>-2.0171000000000001</v>
      </c>
      <c r="E45" s="72">
        <f t="shared" si="6"/>
        <v>0.10852158999477979</v>
      </c>
      <c r="F45" s="32">
        <f t="shared" si="7"/>
        <v>-2.0171000000000001</v>
      </c>
      <c r="G45" s="32">
        <f t="shared" si="8"/>
        <v>0.10852158999477979</v>
      </c>
      <c r="H45" s="32">
        <f t="shared" si="9"/>
        <v>4.0686924100000006</v>
      </c>
      <c r="I45" s="32">
        <f t="shared" si="10"/>
        <v>-8.2069594602110012</v>
      </c>
      <c r="J45" s="32">
        <f t="shared" si="11"/>
        <v>16.55425792719161</v>
      </c>
      <c r="K45" s="32">
        <f t="shared" si="12"/>
        <v>-0.21889889917847033</v>
      </c>
      <c r="L45" s="32">
        <f t="shared" si="13"/>
        <v>0.44154096953289251</v>
      </c>
      <c r="M45" s="32">
        <f t="shared" ca="1" si="14"/>
        <v>0.10484370178956258</v>
      </c>
      <c r="N45" s="32">
        <f t="shared" ca="1" si="15"/>
        <v>1.352686165007586E-5</v>
      </c>
      <c r="O45" s="122">
        <f t="shared" ca="1" si="16"/>
        <v>3473055562.9084821</v>
      </c>
      <c r="P45" s="32">
        <f t="shared" ca="1" si="17"/>
        <v>10471213570.284302</v>
      </c>
      <c r="Q45" s="32">
        <f t="shared" ca="1" si="18"/>
        <v>309085328.73116159</v>
      </c>
      <c r="R45" s="16">
        <f t="shared" ca="1" si="19"/>
        <v>3.6778882052172085E-3</v>
      </c>
    </row>
    <row r="46" spans="1:18">
      <c r="A46" s="71">
        <v>-10974</v>
      </c>
      <c r="B46" s="71">
        <v>6.0283610000624321E-2</v>
      </c>
      <c r="C46" s="71">
        <v>0.1</v>
      </c>
      <c r="D46" s="72">
        <f t="shared" si="5"/>
        <v>-1.0973999999999999</v>
      </c>
      <c r="E46" s="72">
        <f t="shared" si="6"/>
        <v>6.0283610000624321E-2</v>
      </c>
      <c r="F46" s="32">
        <f t="shared" si="7"/>
        <v>-0.10974</v>
      </c>
      <c r="G46" s="32">
        <f t="shared" si="8"/>
        <v>6.0283610000624321E-3</v>
      </c>
      <c r="H46" s="32">
        <f t="shared" si="9"/>
        <v>0.120428676</v>
      </c>
      <c r="I46" s="32">
        <f t="shared" si="10"/>
        <v>-0.13215842904239999</v>
      </c>
      <c r="J46" s="32">
        <f t="shared" si="11"/>
        <v>0.14503066003112974</v>
      </c>
      <c r="K46" s="32">
        <f t="shared" si="12"/>
        <v>-6.615523361468513E-3</v>
      </c>
      <c r="L46" s="32">
        <f t="shared" si="13"/>
        <v>7.2598753368755455E-3</v>
      </c>
      <c r="M46" s="32">
        <f t="shared" ca="1" si="14"/>
        <v>7.8289415936624973E-2</v>
      </c>
      <c r="N46" s="32">
        <f t="shared" ca="1" si="15"/>
        <v>3.242090474049163E-5</v>
      </c>
      <c r="O46" s="122">
        <f t="shared" ca="1" si="16"/>
        <v>44137102.439105183</v>
      </c>
      <c r="P46" s="32">
        <f t="shared" ca="1" si="17"/>
        <v>53136012.542066649</v>
      </c>
      <c r="Q46" s="32">
        <f t="shared" ca="1" si="18"/>
        <v>2429268.442538132</v>
      </c>
      <c r="R46" s="16">
        <f t="shared" ca="1" si="19"/>
        <v>-1.8005805936000652E-2</v>
      </c>
    </row>
    <row r="47" spans="1:18">
      <c r="A47" s="71">
        <v>-10949</v>
      </c>
      <c r="B47" s="71">
        <v>6.1700109996309038E-2</v>
      </c>
      <c r="C47" s="71">
        <v>0.1</v>
      </c>
      <c r="D47" s="72">
        <f t="shared" si="5"/>
        <v>-1.0949</v>
      </c>
      <c r="E47" s="72">
        <f t="shared" si="6"/>
        <v>6.1700109996309038E-2</v>
      </c>
      <c r="F47" s="32">
        <f t="shared" si="7"/>
        <v>-0.10949</v>
      </c>
      <c r="G47" s="32">
        <f t="shared" si="8"/>
        <v>6.1700109996309042E-3</v>
      </c>
      <c r="H47" s="32">
        <f t="shared" si="9"/>
        <v>0.119880601</v>
      </c>
      <c r="I47" s="32">
        <f t="shared" si="10"/>
        <v>-0.13125727003490001</v>
      </c>
      <c r="J47" s="32">
        <f t="shared" si="11"/>
        <v>0.143713584961212</v>
      </c>
      <c r="K47" s="32">
        <f t="shared" si="12"/>
        <v>-6.755545043495877E-3</v>
      </c>
      <c r="L47" s="32">
        <f t="shared" si="13"/>
        <v>7.3966462681236359E-3</v>
      </c>
      <c r="M47" s="32">
        <f t="shared" ca="1" si="14"/>
        <v>7.8176423661741129E-2</v>
      </c>
      <c r="N47" s="32">
        <f t="shared" ca="1" si="15"/>
        <v>2.7146891200170428E-5</v>
      </c>
      <c r="O47" s="122">
        <f t="shared" ca="1" si="16"/>
        <v>44151528.734118879</v>
      </c>
      <c r="P47" s="32">
        <f t="shared" ca="1" si="17"/>
        <v>52969319.967206337</v>
      </c>
      <c r="Q47" s="32">
        <f t="shared" ca="1" si="18"/>
        <v>2424636.2015181324</v>
      </c>
      <c r="R47" s="16">
        <f t="shared" ca="1" si="19"/>
        <v>-1.6476313665432091E-2</v>
      </c>
    </row>
    <row r="48" spans="1:18">
      <c r="A48" s="71">
        <v>-10871</v>
      </c>
      <c r="B48" s="71">
        <v>6.0159590000694152E-2</v>
      </c>
      <c r="C48" s="71">
        <v>0.1</v>
      </c>
      <c r="D48" s="72">
        <f t="shared" si="5"/>
        <v>-1.0871</v>
      </c>
      <c r="E48" s="72">
        <f t="shared" si="6"/>
        <v>6.0159590000694152E-2</v>
      </c>
      <c r="F48" s="32">
        <f t="shared" si="7"/>
        <v>-0.10871</v>
      </c>
      <c r="G48" s="32">
        <f t="shared" si="8"/>
        <v>6.0159590000694154E-3</v>
      </c>
      <c r="H48" s="32">
        <f t="shared" si="9"/>
        <v>0.118178641</v>
      </c>
      <c r="I48" s="32">
        <f t="shared" si="10"/>
        <v>-0.12847200063110001</v>
      </c>
      <c r="J48" s="32">
        <f t="shared" si="11"/>
        <v>0.1396619118860688</v>
      </c>
      <c r="K48" s="32">
        <f t="shared" si="12"/>
        <v>-6.5399490289754615E-3</v>
      </c>
      <c r="L48" s="32">
        <f t="shared" si="13"/>
        <v>7.1095785893992239E-3</v>
      </c>
      <c r="M48" s="32">
        <f t="shared" ca="1" si="14"/>
        <v>7.7822465641498376E-2</v>
      </c>
      <c r="N48" s="32">
        <f t="shared" ca="1" si="15"/>
        <v>3.1197717590251522E-5</v>
      </c>
      <c r="O48" s="122">
        <f t="shared" ca="1" si="16"/>
        <v>44196111.948864564</v>
      </c>
      <c r="P48" s="32">
        <f t="shared" ca="1" si="17"/>
        <v>52449185.091404609</v>
      </c>
      <c r="Q48" s="32">
        <f t="shared" ca="1" si="18"/>
        <v>2410109.8284241422</v>
      </c>
      <c r="R48" s="16">
        <f t="shared" ca="1" si="19"/>
        <v>-1.7662875640804224E-2</v>
      </c>
    </row>
    <row r="49" spans="1:18">
      <c r="A49" s="71">
        <v>-9816</v>
      </c>
      <c r="B49" s="71">
        <v>6.8335889998706989E-2</v>
      </c>
      <c r="C49" s="71">
        <v>1</v>
      </c>
      <c r="D49" s="72">
        <f t="shared" si="5"/>
        <v>-0.98160000000000003</v>
      </c>
      <c r="E49" s="72">
        <f t="shared" si="6"/>
        <v>6.8335889998706989E-2</v>
      </c>
      <c r="F49" s="32">
        <f t="shared" si="7"/>
        <v>-0.98160000000000003</v>
      </c>
      <c r="G49" s="32">
        <f t="shared" si="8"/>
        <v>6.8335889998706989E-2</v>
      </c>
      <c r="H49" s="32">
        <f t="shared" si="9"/>
        <v>0.96353856000000004</v>
      </c>
      <c r="I49" s="32">
        <f t="shared" si="10"/>
        <v>-0.94580945049600007</v>
      </c>
      <c r="J49" s="32">
        <f t="shared" si="11"/>
        <v>0.92840655660687366</v>
      </c>
      <c r="K49" s="32">
        <f t="shared" si="12"/>
        <v>-6.7078509622730778E-2</v>
      </c>
      <c r="L49" s="32">
        <f t="shared" si="13"/>
        <v>6.5844265045672534E-2</v>
      </c>
      <c r="M49" s="32">
        <f t="shared" ca="1" si="14"/>
        <v>7.2823370203187771E-2</v>
      </c>
      <c r="N49" s="32">
        <f t="shared" ca="1" si="15"/>
        <v>2.0137478585606878E-5</v>
      </c>
      <c r="O49" s="122">
        <f t="shared" ca="1" si="16"/>
        <v>4473515638.5612364</v>
      </c>
      <c r="P49" s="32">
        <f t="shared" ca="1" si="17"/>
        <v>4542528388.5672512</v>
      </c>
      <c r="Q49" s="32">
        <f t="shared" ca="1" si="18"/>
        <v>220335718.1637294</v>
      </c>
      <c r="R49" s="16">
        <f t="shared" ca="1" si="19"/>
        <v>-4.4874802044807816E-3</v>
      </c>
    </row>
    <row r="50" spans="1:18">
      <c r="A50" s="71">
        <v>-1960.5</v>
      </c>
      <c r="B50" s="71">
        <v>8.6685200003557838E-3</v>
      </c>
      <c r="C50" s="71">
        <v>0.4</v>
      </c>
      <c r="D50" s="72">
        <f t="shared" si="5"/>
        <v>-0.19605</v>
      </c>
      <c r="E50" s="72">
        <f t="shared" si="6"/>
        <v>8.6685200003557838E-3</v>
      </c>
      <c r="F50" s="32">
        <f t="shared" si="7"/>
        <v>-7.8420000000000004E-2</v>
      </c>
      <c r="G50" s="32">
        <f t="shared" si="8"/>
        <v>3.4674080001423136E-3</v>
      </c>
      <c r="H50" s="32">
        <f t="shared" si="9"/>
        <v>1.5374241E-2</v>
      </c>
      <c r="I50" s="32">
        <f t="shared" si="10"/>
        <v>-3.01411994805E-3</v>
      </c>
      <c r="J50" s="32">
        <f t="shared" si="11"/>
        <v>5.9091821581520247E-4</v>
      </c>
      <c r="K50" s="32">
        <f t="shared" si="12"/>
        <v>-6.7978533842790064E-4</v>
      </c>
      <c r="L50" s="32">
        <f t="shared" si="13"/>
        <v>1.3327191559878992E-4</v>
      </c>
      <c r="M50" s="32">
        <f t="shared" ca="1" si="14"/>
        <v>2.3209967752549864E-2</v>
      </c>
      <c r="N50" s="32">
        <f t="shared" ca="1" si="15"/>
        <v>8.458148109191611E-5</v>
      </c>
      <c r="O50" s="122">
        <f t="shared" ca="1" si="16"/>
        <v>718192446.47730386</v>
      </c>
      <c r="P50" s="32">
        <f t="shared" ca="1" si="17"/>
        <v>61114994.563350946</v>
      </c>
      <c r="Q50" s="32">
        <f t="shared" ca="1" si="18"/>
        <v>7632558.4480722556</v>
      </c>
      <c r="R50" s="16">
        <f t="shared" ca="1" si="19"/>
        <v>-1.454144775219408E-2</v>
      </c>
    </row>
    <row r="51" spans="1:18">
      <c r="A51" s="71">
        <v>-1893</v>
      </c>
      <c r="B51" s="71">
        <v>1.4712854994286317E-2</v>
      </c>
      <c r="C51" s="71">
        <v>0.1</v>
      </c>
      <c r="D51" s="72">
        <f t="shared" si="5"/>
        <v>-0.1893</v>
      </c>
      <c r="E51" s="72">
        <f t="shared" si="6"/>
        <v>1.4712854994286317E-2</v>
      </c>
      <c r="F51" s="32">
        <f t="shared" si="7"/>
        <v>-1.8930000000000002E-2</v>
      </c>
      <c r="G51" s="32">
        <f t="shared" si="8"/>
        <v>1.4712854994286318E-3</v>
      </c>
      <c r="H51" s="32">
        <f t="shared" si="9"/>
        <v>3.5834490000000003E-3</v>
      </c>
      <c r="I51" s="32">
        <f t="shared" si="10"/>
        <v>-6.7834689570000009E-4</v>
      </c>
      <c r="J51" s="32">
        <f t="shared" si="11"/>
        <v>1.2841106735601003E-4</v>
      </c>
      <c r="K51" s="32">
        <f t="shared" si="12"/>
        <v>-2.7851434504183999E-4</v>
      </c>
      <c r="L51" s="32">
        <f t="shared" si="13"/>
        <v>5.2722765516420308E-5</v>
      </c>
      <c r="M51" s="32">
        <f t="shared" ca="1" si="14"/>
        <v>2.2688987378366644E-2</v>
      </c>
      <c r="N51" s="32">
        <f t="shared" ca="1" si="15"/>
        <v>6.3618687808374927E-6</v>
      </c>
      <c r="O51" s="122">
        <f t="shared" ca="1" si="16"/>
        <v>44858688.261989601</v>
      </c>
      <c r="P51" s="32">
        <f t="shared" ca="1" si="17"/>
        <v>3630162.7206138242</v>
      </c>
      <c r="Q51" s="32">
        <f t="shared" ca="1" si="18"/>
        <v>464668.81071062287</v>
      </c>
      <c r="R51" s="16">
        <f t="shared" ca="1" si="19"/>
        <v>-7.9761323840803269E-3</v>
      </c>
    </row>
    <row r="52" spans="1:18">
      <c r="A52" s="71">
        <v>-1121.5</v>
      </c>
      <c r="B52" s="71">
        <v>1.1726260003342759E-2</v>
      </c>
      <c r="C52" s="71">
        <v>0.4</v>
      </c>
      <c r="D52" s="72">
        <f t="shared" si="5"/>
        <v>-0.11215</v>
      </c>
      <c r="E52" s="72">
        <f t="shared" si="6"/>
        <v>1.1726260003342759E-2</v>
      </c>
      <c r="F52" s="32">
        <f t="shared" si="7"/>
        <v>-4.4860000000000004E-2</v>
      </c>
      <c r="G52" s="32">
        <f t="shared" si="8"/>
        <v>4.6905040013371039E-3</v>
      </c>
      <c r="H52" s="32">
        <f t="shared" si="9"/>
        <v>5.0310490000000001E-3</v>
      </c>
      <c r="I52" s="32">
        <f t="shared" si="10"/>
        <v>-5.6423214535000006E-4</v>
      </c>
      <c r="J52" s="32">
        <f t="shared" si="11"/>
        <v>6.3278635101002509E-5</v>
      </c>
      <c r="K52" s="32">
        <f t="shared" si="12"/>
        <v>-5.2604002374995618E-4</v>
      </c>
      <c r="L52" s="32">
        <f t="shared" si="13"/>
        <v>5.8995388663557583E-5</v>
      </c>
      <c r="M52" s="32">
        <f t="shared" ca="1" si="14"/>
        <v>1.6619796164755729E-2</v>
      </c>
      <c r="N52" s="32">
        <f t="shared" ca="1" si="15"/>
        <v>9.5786784652225566E-6</v>
      </c>
      <c r="O52" s="122">
        <f t="shared" ca="1" si="16"/>
        <v>711994779.63153243</v>
      </c>
      <c r="P52" s="32">
        <f t="shared" ca="1" si="17"/>
        <v>28490059.252385389</v>
      </c>
      <c r="Q52" s="32">
        <f t="shared" ca="1" si="18"/>
        <v>5308836.3729886543</v>
      </c>
      <c r="R52" s="16">
        <f t="shared" ca="1" si="19"/>
        <v>-4.8935361614129702E-3</v>
      </c>
    </row>
    <row r="53" spans="1:18">
      <c r="A53" s="71">
        <v>0</v>
      </c>
      <c r="B53" s="71">
        <v>0</v>
      </c>
      <c r="C53" s="71">
        <v>0.1</v>
      </c>
      <c r="D53" s="72">
        <f t="shared" si="5"/>
        <v>0</v>
      </c>
      <c r="E53" s="72">
        <f t="shared" si="6"/>
        <v>0</v>
      </c>
      <c r="F53" s="32">
        <f t="shared" si="7"/>
        <v>0</v>
      </c>
      <c r="G53" s="32">
        <f t="shared" si="8"/>
        <v>0</v>
      </c>
      <c r="H53" s="32">
        <f t="shared" si="9"/>
        <v>0</v>
      </c>
      <c r="I53" s="32">
        <f t="shared" si="10"/>
        <v>0</v>
      </c>
      <c r="J53" s="32">
        <f t="shared" si="11"/>
        <v>0</v>
      </c>
      <c r="K53" s="32">
        <f t="shared" si="12"/>
        <v>0</v>
      </c>
      <c r="L53" s="32">
        <f t="shared" si="13"/>
        <v>0</v>
      </c>
      <c r="M53" s="32">
        <f t="shared" ca="1" si="14"/>
        <v>7.4214468061546803E-3</v>
      </c>
      <c r="N53" s="32">
        <f t="shared" ca="1" si="15"/>
        <v>5.5077872696583507E-6</v>
      </c>
      <c r="O53" s="122">
        <f t="shared" ca="1" si="16"/>
        <v>43863930.289527915</v>
      </c>
      <c r="P53" s="32">
        <f t="shared" ca="1" si="17"/>
        <v>223557.72078443307</v>
      </c>
      <c r="Q53" s="32">
        <f t="shared" ca="1" si="18"/>
        <v>171193.73113597374</v>
      </c>
      <c r="R53" s="16">
        <f t="shared" ca="1" si="19"/>
        <v>-7.4214468061546803E-3</v>
      </c>
    </row>
    <row r="54" spans="1:18">
      <c r="A54" s="71">
        <v>49.5</v>
      </c>
      <c r="B54" s="71">
        <v>-4.6448799985228106E-3</v>
      </c>
      <c r="C54" s="71">
        <v>0.4</v>
      </c>
      <c r="D54" s="72">
        <f t="shared" si="5"/>
        <v>4.9500000000000004E-3</v>
      </c>
      <c r="E54" s="72">
        <f t="shared" si="6"/>
        <v>-4.6448799985228106E-3</v>
      </c>
      <c r="F54" s="32">
        <f t="shared" si="7"/>
        <v>1.9800000000000004E-3</v>
      </c>
      <c r="G54" s="32">
        <f t="shared" si="8"/>
        <v>-1.8579519994091243E-3</v>
      </c>
      <c r="H54" s="32">
        <f t="shared" si="9"/>
        <v>9.8010000000000032E-6</v>
      </c>
      <c r="I54" s="32">
        <f t="shared" si="10"/>
        <v>4.8514950000000018E-8</v>
      </c>
      <c r="J54" s="32">
        <f t="shared" si="11"/>
        <v>2.401490025000001E-10</v>
      </c>
      <c r="K54" s="32">
        <f t="shared" si="12"/>
        <v>-9.1968623970751656E-6</v>
      </c>
      <c r="L54" s="32">
        <f t="shared" si="13"/>
        <v>-4.552446886552207E-8</v>
      </c>
      <c r="M54" s="32">
        <f t="shared" ca="1" si="14"/>
        <v>7.0051958817510963E-3</v>
      </c>
      <c r="N54" s="32">
        <f t="shared" ca="1" si="15"/>
        <v>5.4289707206455941E-5</v>
      </c>
      <c r="O54" s="122">
        <f t="shared" ca="1" si="16"/>
        <v>701324799.17392743</v>
      </c>
      <c r="P54" s="32">
        <f t="shared" ca="1" si="17"/>
        <v>3012663.3402549545</v>
      </c>
      <c r="Q54" s="32">
        <f t="shared" ca="1" si="18"/>
        <v>2642004.9793735379</v>
      </c>
      <c r="R54" s="16">
        <f t="shared" ca="1" si="19"/>
        <v>-1.1650075880273907E-2</v>
      </c>
    </row>
    <row r="55" spans="1:18">
      <c r="A55" s="71">
        <v>1278.5</v>
      </c>
      <c r="B55" s="71">
        <v>-9.2897399954381399E-3</v>
      </c>
      <c r="C55" s="71">
        <v>0.4</v>
      </c>
      <c r="D55" s="72">
        <f t="shared" si="5"/>
        <v>0.12784999999999999</v>
      </c>
      <c r="E55" s="72">
        <f t="shared" si="6"/>
        <v>-9.2897399954381399E-3</v>
      </c>
      <c r="F55" s="32">
        <f t="shared" si="7"/>
        <v>5.1139999999999998E-2</v>
      </c>
      <c r="G55" s="32">
        <f t="shared" si="8"/>
        <v>-3.7158959981752563E-3</v>
      </c>
      <c r="H55" s="32">
        <f t="shared" si="9"/>
        <v>6.5382489999999995E-3</v>
      </c>
      <c r="I55" s="32">
        <f t="shared" si="10"/>
        <v>8.3591513464999993E-4</v>
      </c>
      <c r="J55" s="32">
        <f t="shared" si="11"/>
        <v>1.0687174996500248E-4</v>
      </c>
      <c r="K55" s="32">
        <f t="shared" si="12"/>
        <v>-4.750773033667065E-4</v>
      </c>
      <c r="L55" s="32">
        <f t="shared" si="13"/>
        <v>-6.0738633235433423E-5</v>
      </c>
      <c r="M55" s="32">
        <f t="shared" ca="1" si="14"/>
        <v>-3.6077361958677004E-3</v>
      </c>
      <c r="N55" s="32">
        <f t="shared" ca="1" si="15"/>
        <v>1.2914066871333163E-5</v>
      </c>
      <c r="O55" s="122">
        <f t="shared" ca="1" si="16"/>
        <v>687650345.80460405</v>
      </c>
      <c r="P55" s="32">
        <f t="shared" ca="1" si="17"/>
        <v>4931665.9446684839</v>
      </c>
      <c r="Q55" s="32">
        <f t="shared" ca="1" si="18"/>
        <v>747893.16315104533</v>
      </c>
      <c r="R55" s="16">
        <f t="shared" ca="1" si="19"/>
        <v>-5.6820037995704391E-3</v>
      </c>
    </row>
    <row r="56" spans="1:18">
      <c r="A56" s="71">
        <v>1977.5</v>
      </c>
      <c r="B56" s="71">
        <v>-1.2864399992395192E-2</v>
      </c>
      <c r="C56" s="71">
        <v>1</v>
      </c>
      <c r="D56" s="72">
        <f t="shared" si="5"/>
        <v>0.19775000000000001</v>
      </c>
      <c r="E56" s="72">
        <f t="shared" si="6"/>
        <v>-1.2864399992395192E-2</v>
      </c>
      <c r="F56" s="32">
        <f t="shared" si="7"/>
        <v>0.19775000000000001</v>
      </c>
      <c r="G56" s="32">
        <f t="shared" si="8"/>
        <v>-1.2864399992395192E-2</v>
      </c>
      <c r="H56" s="32">
        <f t="shared" si="9"/>
        <v>3.9105062500000003E-2</v>
      </c>
      <c r="I56" s="32">
        <f t="shared" si="10"/>
        <v>7.7330261093750009E-3</v>
      </c>
      <c r="J56" s="32">
        <f t="shared" si="11"/>
        <v>1.5292059131289065E-3</v>
      </c>
      <c r="K56" s="32">
        <f t="shared" si="12"/>
        <v>-2.5439350984961494E-3</v>
      </c>
      <c r="L56" s="32">
        <f t="shared" si="13"/>
        <v>-5.0306316572761359E-4</v>
      </c>
      <c r="M56" s="32">
        <f t="shared" ca="1" si="14"/>
        <v>-9.8824507774875926E-3</v>
      </c>
      <c r="N56" s="32">
        <f t="shared" ca="1" si="15"/>
        <v>8.8920211202880498E-6</v>
      </c>
      <c r="O56" s="122">
        <f t="shared" ca="1" si="16"/>
        <v>4242314357.23283</v>
      </c>
      <c r="P56" s="32">
        <f t="shared" ca="1" si="17"/>
        <v>129473278.83468907</v>
      </c>
      <c r="Q56" s="32">
        <f t="shared" ca="1" si="18"/>
        <v>1051237.0361682591</v>
      </c>
      <c r="R56" s="16">
        <f t="shared" ca="1" si="19"/>
        <v>-2.9819492149075998E-3</v>
      </c>
    </row>
    <row r="57" spans="1:18">
      <c r="A57" s="71">
        <v>1978</v>
      </c>
      <c r="B57" s="71">
        <v>-1.2996069999644533E-2</v>
      </c>
      <c r="C57" s="71">
        <v>1</v>
      </c>
      <c r="D57" s="72">
        <f t="shared" si="5"/>
        <v>0.1978</v>
      </c>
      <c r="E57" s="72">
        <f t="shared" si="6"/>
        <v>-1.2996069999644533E-2</v>
      </c>
      <c r="F57" s="32">
        <f t="shared" si="7"/>
        <v>0.1978</v>
      </c>
      <c r="G57" s="32">
        <f t="shared" si="8"/>
        <v>-1.2996069999644533E-2</v>
      </c>
      <c r="H57" s="32">
        <f t="shared" si="9"/>
        <v>3.9124840000000001E-2</v>
      </c>
      <c r="I57" s="32">
        <f t="shared" si="10"/>
        <v>7.7388933520000005E-3</v>
      </c>
      <c r="J57" s="32">
        <f t="shared" si="11"/>
        <v>1.5307531050256001E-3</v>
      </c>
      <c r="K57" s="32">
        <f t="shared" si="12"/>
        <v>-2.5706226459296885E-3</v>
      </c>
      <c r="L57" s="32">
        <f t="shared" si="13"/>
        <v>-5.0846915936489238E-4</v>
      </c>
      <c r="M57" s="32">
        <f t="shared" ca="1" si="14"/>
        <v>-9.8870010387081975E-3</v>
      </c>
      <c r="N57" s="32">
        <f t="shared" ca="1" si="15"/>
        <v>9.6663098038577439E-6</v>
      </c>
      <c r="O57" s="122">
        <f t="shared" ca="1" si="16"/>
        <v>4242272901.4527335</v>
      </c>
      <c r="P57" s="32">
        <f t="shared" ca="1" si="17"/>
        <v>129569335.97398585</v>
      </c>
      <c r="Q57" s="32">
        <f t="shared" ca="1" si="18"/>
        <v>1049540.9867235993</v>
      </c>
      <c r="R57" s="16">
        <f t="shared" ca="1" si="19"/>
        <v>-3.1090689609363353E-3</v>
      </c>
    </row>
    <row r="58" spans="1:18">
      <c r="A58" s="71">
        <v>1980.5</v>
      </c>
      <c r="B58" s="71">
        <v>-1.2454419993446209E-2</v>
      </c>
      <c r="C58" s="71">
        <v>1</v>
      </c>
      <c r="D58" s="72">
        <f t="shared" si="5"/>
        <v>0.19805</v>
      </c>
      <c r="E58" s="72">
        <f t="shared" si="6"/>
        <v>-1.2454419993446209E-2</v>
      </c>
      <c r="F58" s="32">
        <f t="shared" si="7"/>
        <v>0.19805</v>
      </c>
      <c r="G58" s="32">
        <f t="shared" si="8"/>
        <v>-1.2454419993446209E-2</v>
      </c>
      <c r="H58" s="32">
        <f t="shared" si="9"/>
        <v>3.9223802500000002E-2</v>
      </c>
      <c r="I58" s="32">
        <f t="shared" si="10"/>
        <v>7.7682740851250003E-3</v>
      </c>
      <c r="J58" s="32">
        <f t="shared" si="11"/>
        <v>1.5385066825590063E-3</v>
      </c>
      <c r="K58" s="32">
        <f t="shared" si="12"/>
        <v>-2.4665978797020218E-3</v>
      </c>
      <c r="L58" s="32">
        <f t="shared" si="13"/>
        <v>-4.8850971007498539E-4</v>
      </c>
      <c r="M58" s="32">
        <f t="shared" ca="1" si="14"/>
        <v>-9.9097536724088615E-3</v>
      </c>
      <c r="N58" s="32">
        <f t="shared" ca="1" si="15"/>
        <v>6.475326685421746E-6</v>
      </c>
      <c r="O58" s="122">
        <f t="shared" ca="1" si="16"/>
        <v>4242065585.1679869</v>
      </c>
      <c r="P58" s="32">
        <f t="shared" ca="1" si="17"/>
        <v>130050181.49941006</v>
      </c>
      <c r="Q58" s="32">
        <f t="shared" ca="1" si="18"/>
        <v>1041080.6519121691</v>
      </c>
      <c r="R58" s="16">
        <f t="shared" ca="1" si="19"/>
        <v>-2.544666321037347E-3</v>
      </c>
    </row>
    <row r="59" spans="1:18">
      <c r="A59" s="71">
        <v>1983</v>
      </c>
      <c r="B59" s="71">
        <v>-1.311277000058908E-2</v>
      </c>
      <c r="C59" s="71">
        <v>1</v>
      </c>
      <c r="D59" s="72">
        <f t="shared" si="5"/>
        <v>0.1983</v>
      </c>
      <c r="E59" s="72">
        <f t="shared" si="6"/>
        <v>-1.311277000058908E-2</v>
      </c>
      <c r="F59" s="32">
        <f t="shared" si="7"/>
        <v>0.1983</v>
      </c>
      <c r="G59" s="32">
        <f t="shared" si="8"/>
        <v>-1.311277000058908E-2</v>
      </c>
      <c r="H59" s="32">
        <f t="shared" si="9"/>
        <v>3.9322889999999999E-2</v>
      </c>
      <c r="I59" s="32">
        <f t="shared" si="10"/>
        <v>7.7977290869999999E-3</v>
      </c>
      <c r="J59" s="32">
        <f t="shared" si="11"/>
        <v>1.5462896779521E-3</v>
      </c>
      <c r="K59" s="32">
        <f t="shared" si="12"/>
        <v>-2.6002622911168146E-3</v>
      </c>
      <c r="L59" s="32">
        <f t="shared" si="13"/>
        <v>-5.1563201232846434E-4</v>
      </c>
      <c r="M59" s="32">
        <f t="shared" ca="1" si="14"/>
        <v>-9.9325085187722817E-3</v>
      </c>
      <c r="N59" s="32">
        <f t="shared" ca="1" si="15"/>
        <v>1.0114063092727579E-5</v>
      </c>
      <c r="O59" s="122">
        <f t="shared" ca="1" si="16"/>
        <v>4241858206.5797539</v>
      </c>
      <c r="P59" s="32">
        <f t="shared" ca="1" si="17"/>
        <v>130531960.24632877</v>
      </c>
      <c r="Q59" s="32">
        <f t="shared" ca="1" si="18"/>
        <v>1032653.5137767107</v>
      </c>
      <c r="R59" s="16">
        <f t="shared" ca="1" si="19"/>
        <v>-3.1802614818167985E-3</v>
      </c>
    </row>
    <row r="60" spans="1:18">
      <c r="A60" s="71">
        <v>1983</v>
      </c>
      <c r="B60" s="71">
        <v>-1.281277000089176E-2</v>
      </c>
      <c r="C60" s="71">
        <v>1</v>
      </c>
      <c r="D60" s="72">
        <f t="shared" si="5"/>
        <v>0.1983</v>
      </c>
      <c r="E60" s="72">
        <f t="shared" si="6"/>
        <v>-1.281277000089176E-2</v>
      </c>
      <c r="F60" s="32">
        <f t="shared" si="7"/>
        <v>0.1983</v>
      </c>
      <c r="G60" s="32">
        <f t="shared" si="8"/>
        <v>-1.281277000089176E-2</v>
      </c>
      <c r="H60" s="32">
        <f t="shared" si="9"/>
        <v>3.9322889999999999E-2</v>
      </c>
      <c r="I60" s="32">
        <f t="shared" si="10"/>
        <v>7.7977290869999999E-3</v>
      </c>
      <c r="J60" s="32">
        <f t="shared" si="11"/>
        <v>1.5462896779521E-3</v>
      </c>
      <c r="K60" s="32">
        <f t="shared" si="12"/>
        <v>-2.5407722911768359E-3</v>
      </c>
      <c r="L60" s="32">
        <f t="shared" si="13"/>
        <v>-5.0383514534036659E-4</v>
      </c>
      <c r="M60" s="32">
        <f t="shared" ca="1" si="14"/>
        <v>-9.9325085187722817E-3</v>
      </c>
      <c r="N60" s="32">
        <f t="shared" ca="1" si="15"/>
        <v>8.2959062053810945E-6</v>
      </c>
      <c r="O60" s="122">
        <f t="shared" ca="1" si="16"/>
        <v>4241858206.5797539</v>
      </c>
      <c r="P60" s="32">
        <f t="shared" ca="1" si="17"/>
        <v>130531960.24632877</v>
      </c>
      <c r="Q60" s="32">
        <f t="shared" ca="1" si="18"/>
        <v>1032653.5137767107</v>
      </c>
      <c r="R60" s="16">
        <f t="shared" ca="1" si="19"/>
        <v>-2.8802614821194783E-3</v>
      </c>
    </row>
    <row r="61" spans="1:18">
      <c r="A61" s="71">
        <v>1983.5</v>
      </c>
      <c r="B61" s="71">
        <v>-1.2244439996720757E-2</v>
      </c>
      <c r="C61" s="71">
        <v>1</v>
      </c>
      <c r="D61" s="72">
        <f t="shared" si="5"/>
        <v>0.19835</v>
      </c>
      <c r="E61" s="72">
        <f t="shared" si="6"/>
        <v>-1.2244439996720757E-2</v>
      </c>
      <c r="F61" s="32">
        <f t="shared" si="7"/>
        <v>0.19835</v>
      </c>
      <c r="G61" s="32">
        <f t="shared" si="8"/>
        <v>-1.2244439996720757E-2</v>
      </c>
      <c r="H61" s="32">
        <f t="shared" si="9"/>
        <v>3.9342722499999996E-2</v>
      </c>
      <c r="I61" s="32">
        <f t="shared" si="10"/>
        <v>7.8036290078749996E-3</v>
      </c>
      <c r="J61" s="32">
        <f t="shared" si="11"/>
        <v>1.5478498137120062E-3</v>
      </c>
      <c r="K61" s="32">
        <f t="shared" si="12"/>
        <v>-2.4286846733495623E-3</v>
      </c>
      <c r="L61" s="32">
        <f t="shared" si="13"/>
        <v>-4.8172960495888569E-4</v>
      </c>
      <c r="M61" s="32">
        <f t="shared" ca="1" si="14"/>
        <v>-9.9370597535644936E-3</v>
      </c>
      <c r="N61" s="32">
        <f t="shared" ca="1" si="15"/>
        <v>5.3240035865078584E-6</v>
      </c>
      <c r="O61" s="122">
        <f t="shared" ca="1" si="16"/>
        <v>4241816723.3861227</v>
      </c>
      <c r="P61" s="32">
        <f t="shared" ca="1" si="17"/>
        <v>130628428.00308427</v>
      </c>
      <c r="Q61" s="32">
        <f t="shared" ca="1" si="18"/>
        <v>1030972.0708695616</v>
      </c>
      <c r="R61" s="16">
        <f t="shared" ca="1" si="19"/>
        <v>-2.3073802431562637E-3</v>
      </c>
    </row>
    <row r="62" spans="1:18">
      <c r="A62" s="71">
        <v>1992</v>
      </c>
      <c r="B62" s="71">
        <v>-1.1782829998992383E-2</v>
      </c>
      <c r="C62" s="71">
        <v>1</v>
      </c>
      <c r="D62" s="72">
        <f t="shared" si="5"/>
        <v>0.19919999999999999</v>
      </c>
      <c r="E62" s="72">
        <f t="shared" si="6"/>
        <v>-1.1782829998992383E-2</v>
      </c>
      <c r="F62" s="32">
        <f t="shared" si="7"/>
        <v>0.19919999999999999</v>
      </c>
      <c r="G62" s="32">
        <f t="shared" si="8"/>
        <v>-1.1782829998992383E-2</v>
      </c>
      <c r="H62" s="32">
        <f t="shared" si="9"/>
        <v>3.9680639999999996E-2</v>
      </c>
      <c r="I62" s="32">
        <f t="shared" si="10"/>
        <v>7.904383487999999E-3</v>
      </c>
      <c r="J62" s="32">
        <f t="shared" si="11"/>
        <v>1.5745531908095997E-3</v>
      </c>
      <c r="K62" s="32">
        <f t="shared" si="12"/>
        <v>-2.3471397357992824E-3</v>
      </c>
      <c r="L62" s="32">
        <f t="shared" si="13"/>
        <v>-4.6755023537121704E-4</v>
      </c>
      <c r="M62" s="32">
        <f t="shared" ca="1" si="14"/>
        <v>-1.0014444286528189E-2</v>
      </c>
      <c r="N62" s="32">
        <f t="shared" ca="1" si="15"/>
        <v>3.1271880280474962E-6</v>
      </c>
      <c r="O62" s="122">
        <f t="shared" ca="1" si="16"/>
        <v>4241111127.8656125</v>
      </c>
      <c r="P62" s="32">
        <f t="shared" ca="1" si="17"/>
        <v>132274094.46138594</v>
      </c>
      <c r="Q62" s="32">
        <f t="shared" ca="1" si="18"/>
        <v>1002590.8814933035</v>
      </c>
      <c r="R62" s="16">
        <f t="shared" ca="1" si="19"/>
        <v>-1.7683857124641943E-3</v>
      </c>
    </row>
    <row r="63" spans="1:18">
      <c r="A63" s="71">
        <v>2112.5</v>
      </c>
      <c r="B63" s="71">
        <v>-1.3915299998188857E-2</v>
      </c>
      <c r="C63" s="71">
        <v>0.4</v>
      </c>
      <c r="D63" s="72">
        <f t="shared" si="5"/>
        <v>0.21124999999999999</v>
      </c>
      <c r="E63" s="72">
        <f t="shared" si="6"/>
        <v>-1.3915299998188857E-2</v>
      </c>
      <c r="F63" s="32">
        <f t="shared" si="7"/>
        <v>8.4500000000000006E-2</v>
      </c>
      <c r="G63" s="32">
        <f t="shared" si="8"/>
        <v>-5.566119999275543E-3</v>
      </c>
      <c r="H63" s="32">
        <f t="shared" si="9"/>
        <v>1.7850625000000002E-2</v>
      </c>
      <c r="I63" s="32">
        <f t="shared" si="10"/>
        <v>3.7709445312500002E-3</v>
      </c>
      <c r="J63" s="32">
        <f t="shared" si="11"/>
        <v>7.9661203222656249E-4</v>
      </c>
      <c r="K63" s="32">
        <f t="shared" si="12"/>
        <v>-1.1758428498469585E-3</v>
      </c>
      <c r="L63" s="32">
        <f t="shared" si="13"/>
        <v>-2.4839680203016999E-4</v>
      </c>
      <c r="M63" s="32">
        <f t="shared" ca="1" si="14"/>
        <v>-1.1114235420966401E-2</v>
      </c>
      <c r="N63" s="32">
        <f t="shared" ca="1" si="15"/>
        <v>3.138385106308167E-6</v>
      </c>
      <c r="O63" s="122">
        <f t="shared" ca="1" si="16"/>
        <v>676964946.5763104</v>
      </c>
      <c r="P63" s="32">
        <f t="shared" ca="1" si="17"/>
        <v>25083215.922072247</v>
      </c>
      <c r="Q63" s="32">
        <f t="shared" ca="1" si="18"/>
        <v>102693.94773756336</v>
      </c>
      <c r="R63" s="16">
        <f t="shared" ca="1" si="19"/>
        <v>-2.8010645772224563E-3</v>
      </c>
    </row>
    <row r="64" spans="1:18">
      <c r="A64" s="71">
        <v>3114.5</v>
      </c>
      <c r="B64" s="71">
        <v>-2.9781980003463104E-2</v>
      </c>
      <c r="C64" s="71">
        <v>0.4</v>
      </c>
      <c r="D64" s="72">
        <f t="shared" si="5"/>
        <v>0.31145</v>
      </c>
      <c r="E64" s="72">
        <f t="shared" si="6"/>
        <v>-2.9781980003463104E-2</v>
      </c>
      <c r="F64" s="32">
        <f t="shared" si="7"/>
        <v>0.12458000000000001</v>
      </c>
      <c r="G64" s="32">
        <f t="shared" si="8"/>
        <v>-1.1912792001385243E-2</v>
      </c>
      <c r="H64" s="32">
        <f t="shared" si="9"/>
        <v>3.8800441000000005E-2</v>
      </c>
      <c r="I64" s="32">
        <f t="shared" si="10"/>
        <v>1.2084397349450002E-2</v>
      </c>
      <c r="J64" s="32">
        <f t="shared" si="11"/>
        <v>3.7636855544862032E-3</v>
      </c>
      <c r="K64" s="32">
        <f t="shared" si="12"/>
        <v>-3.7102390688314338E-3</v>
      </c>
      <c r="L64" s="32">
        <f t="shared" si="13"/>
        <v>-1.1555539579875501E-3</v>
      </c>
      <c r="M64" s="32">
        <f t="shared" ca="1" si="14"/>
        <v>-2.0458481106476897E-2</v>
      </c>
      <c r="N64" s="32">
        <f t="shared" ca="1" si="15"/>
        <v>3.477105267284121E-5</v>
      </c>
      <c r="O64" s="122">
        <f t="shared" ca="1" si="16"/>
        <v>662669262.2521317</v>
      </c>
      <c r="P64" s="32">
        <f t="shared" ca="1" si="17"/>
        <v>71694707.278125405</v>
      </c>
      <c r="Q64" s="32">
        <f t="shared" ca="1" si="18"/>
        <v>132270.4509334749</v>
      </c>
      <c r="R64" s="16">
        <f t="shared" ca="1" si="19"/>
        <v>-9.323498896986207E-3</v>
      </c>
    </row>
    <row r="65" spans="1:18">
      <c r="A65" s="71">
        <v>3271.5</v>
      </c>
      <c r="B65" s="71">
        <v>-2.9926360002718866E-2</v>
      </c>
      <c r="C65" s="71">
        <v>1</v>
      </c>
      <c r="D65" s="72">
        <f t="shared" si="5"/>
        <v>0.32715</v>
      </c>
      <c r="E65" s="72">
        <f t="shared" si="6"/>
        <v>-2.9926360002718866E-2</v>
      </c>
      <c r="F65" s="32">
        <f t="shared" si="7"/>
        <v>0.32715</v>
      </c>
      <c r="G65" s="32">
        <f t="shared" si="8"/>
        <v>-2.9926360002718866E-2</v>
      </c>
      <c r="H65" s="32">
        <f t="shared" si="9"/>
        <v>0.1070271225</v>
      </c>
      <c r="I65" s="32">
        <f t="shared" si="10"/>
        <v>3.5013923125875E-2</v>
      </c>
      <c r="J65" s="32">
        <f t="shared" si="11"/>
        <v>1.1454804950630006E-2</v>
      </c>
      <c r="K65" s="32">
        <f t="shared" si="12"/>
        <v>-9.7904086748894763E-3</v>
      </c>
      <c r="L65" s="32">
        <f t="shared" si="13"/>
        <v>-3.2029321979900921E-3</v>
      </c>
      <c r="M65" s="32">
        <f t="shared" ca="1" si="14"/>
        <v>-2.1954809262643104E-2</v>
      </c>
      <c r="N65" s="32">
        <f t="shared" ca="1" si="15"/>
        <v>6.3545621201602435E-5</v>
      </c>
      <c r="O65" s="122">
        <f t="shared" ca="1" si="16"/>
        <v>4126802289.4857831</v>
      </c>
      <c r="P65" s="32">
        <f t="shared" ca="1" si="17"/>
        <v>508514983.14637935</v>
      </c>
      <c r="Q65" s="32">
        <f t="shared" ca="1" si="18"/>
        <v>1403448.2176211306</v>
      </c>
      <c r="R65" s="16">
        <f t="shared" ca="1" si="19"/>
        <v>-7.9715507400757619E-3</v>
      </c>
    </row>
    <row r="66" spans="1:18">
      <c r="A66" s="71">
        <v>3277</v>
      </c>
      <c r="B66" s="71">
        <v>-3.2974729998386465E-2</v>
      </c>
      <c r="C66" s="71">
        <v>1</v>
      </c>
      <c r="D66" s="72">
        <f t="shared" si="5"/>
        <v>0.32769999999999999</v>
      </c>
      <c r="E66" s="72">
        <f t="shared" si="6"/>
        <v>-3.2974729998386465E-2</v>
      </c>
      <c r="F66" s="32">
        <f t="shared" si="7"/>
        <v>0.32769999999999999</v>
      </c>
      <c r="G66" s="32">
        <f t="shared" si="8"/>
        <v>-3.2974729998386465E-2</v>
      </c>
      <c r="H66" s="32">
        <f t="shared" si="9"/>
        <v>0.10738729</v>
      </c>
      <c r="I66" s="32">
        <f t="shared" si="10"/>
        <v>3.5190814932999998E-2</v>
      </c>
      <c r="J66" s="32">
        <f t="shared" si="11"/>
        <v>1.1532030053544098E-2</v>
      </c>
      <c r="K66" s="32">
        <f t="shared" si="12"/>
        <v>-1.0805819020471244E-2</v>
      </c>
      <c r="L66" s="32">
        <f t="shared" si="13"/>
        <v>-3.5410668930084266E-3</v>
      </c>
      <c r="M66" s="32">
        <f t="shared" ca="1" si="14"/>
        <v>-2.2007386607258751E-2</v>
      </c>
      <c r="N66" s="32">
        <f t="shared" ca="1" si="15"/>
        <v>1.2028262105891275E-4</v>
      </c>
      <c r="O66" s="122">
        <f t="shared" ca="1" si="16"/>
        <v>4126276729.28228</v>
      </c>
      <c r="P66" s="32">
        <f t="shared" ca="1" si="17"/>
        <v>510707006.53754723</v>
      </c>
      <c r="Q66" s="32">
        <f t="shared" ca="1" si="18"/>
        <v>1426491.5889126956</v>
      </c>
      <c r="R66" s="16">
        <f t="shared" ca="1" si="19"/>
        <v>-1.0967343391127714E-2</v>
      </c>
    </row>
    <row r="67" spans="1:18">
      <c r="A67" s="71">
        <v>3969</v>
      </c>
      <c r="B67" s="71">
        <v>-3.3606010001676623E-2</v>
      </c>
      <c r="C67" s="71">
        <v>1</v>
      </c>
      <c r="D67" s="72">
        <f t="shared" si="5"/>
        <v>0.39689999999999998</v>
      </c>
      <c r="E67" s="72">
        <f t="shared" si="6"/>
        <v>-3.3606010001676623E-2</v>
      </c>
      <c r="F67" s="32">
        <f t="shared" si="7"/>
        <v>0.39689999999999998</v>
      </c>
      <c r="G67" s="32">
        <f t="shared" si="8"/>
        <v>-3.3606010001676623E-2</v>
      </c>
      <c r="H67" s="32">
        <f t="shared" si="9"/>
        <v>0.15752960999999999</v>
      </c>
      <c r="I67" s="32">
        <f t="shared" si="10"/>
        <v>6.2523502208999993E-2</v>
      </c>
      <c r="J67" s="32">
        <f t="shared" si="11"/>
        <v>2.4815578026752095E-2</v>
      </c>
      <c r="K67" s="32">
        <f t="shared" si="12"/>
        <v>-1.3338225369665451E-2</v>
      </c>
      <c r="L67" s="32">
        <f t="shared" si="13"/>
        <v>-5.2939416492202174E-3</v>
      </c>
      <c r="M67" s="32">
        <f t="shared" ca="1" si="14"/>
        <v>-2.8708011386135861E-2</v>
      </c>
      <c r="N67" s="32">
        <f t="shared" ca="1" si="15"/>
        <v>2.3990390437839214E-5</v>
      </c>
      <c r="O67" s="122">
        <f t="shared" ca="1" si="16"/>
        <v>4057873978.5557075</v>
      </c>
      <c r="P67" s="32">
        <f t="shared" ca="1" si="17"/>
        <v>828256746.66312206</v>
      </c>
      <c r="Q67" s="32">
        <f t="shared" ca="1" si="18"/>
        <v>5918570.8670091825</v>
      </c>
      <c r="R67" s="16">
        <f t="shared" ca="1" si="19"/>
        <v>-4.8979986155407614E-3</v>
      </c>
    </row>
    <row r="68" spans="1:18">
      <c r="A68" s="71">
        <v>4001.5</v>
      </c>
      <c r="B68" s="71">
        <v>-3.3664560003671795E-2</v>
      </c>
      <c r="C68" s="71">
        <v>1</v>
      </c>
      <c r="D68" s="72">
        <f t="shared" si="5"/>
        <v>0.40015000000000001</v>
      </c>
      <c r="E68" s="72">
        <f t="shared" si="6"/>
        <v>-3.3664560003671795E-2</v>
      </c>
      <c r="F68" s="32">
        <f t="shared" si="7"/>
        <v>0.40015000000000001</v>
      </c>
      <c r="G68" s="32">
        <f t="shared" si="8"/>
        <v>-3.3664560003671795E-2</v>
      </c>
      <c r="H68" s="32">
        <f t="shared" si="9"/>
        <v>0.16012002250000001</v>
      </c>
      <c r="I68" s="32">
        <f t="shared" si="10"/>
        <v>6.4072027003375012E-2</v>
      </c>
      <c r="J68" s="32">
        <f t="shared" si="11"/>
        <v>2.5638421605400512E-2</v>
      </c>
      <c r="K68" s="32">
        <f t="shared" si="12"/>
        <v>-1.3470873685469269E-2</v>
      </c>
      <c r="L68" s="32">
        <f t="shared" si="13"/>
        <v>-5.3903701052405283E-3</v>
      </c>
      <c r="M68" s="32">
        <f t="shared" ca="1" si="14"/>
        <v>-2.9026876351961516E-2</v>
      </c>
      <c r="N68" s="32">
        <f t="shared" ca="1" si="15"/>
        <v>2.1508109653340795E-5</v>
      </c>
      <c r="O68" s="122">
        <f t="shared" ca="1" si="16"/>
        <v>4054551406.5518517</v>
      </c>
      <c r="P68" s="32">
        <f t="shared" ca="1" si="17"/>
        <v>845253284.79734838</v>
      </c>
      <c r="Q68" s="32">
        <f t="shared" ca="1" si="18"/>
        <v>6209766.3778212415</v>
      </c>
      <c r="R68" s="16">
        <f t="shared" ca="1" si="19"/>
        <v>-4.6376836517102796E-3</v>
      </c>
    </row>
    <row r="69" spans="1:18">
      <c r="A69" s="71">
        <v>4167</v>
      </c>
      <c r="B69" s="71">
        <v>-3.5247329993580934E-2</v>
      </c>
      <c r="C69" s="71">
        <v>1</v>
      </c>
      <c r="D69" s="72">
        <f t="shared" si="5"/>
        <v>0.41670000000000001</v>
      </c>
      <c r="E69" s="72">
        <f t="shared" si="6"/>
        <v>-3.5247329993580934E-2</v>
      </c>
      <c r="F69" s="32">
        <f t="shared" si="7"/>
        <v>0.41670000000000001</v>
      </c>
      <c r="G69" s="32">
        <f t="shared" si="8"/>
        <v>-3.5247329993580934E-2</v>
      </c>
      <c r="H69" s="32">
        <f t="shared" si="9"/>
        <v>0.17363889000000002</v>
      </c>
      <c r="I69" s="32">
        <f t="shared" si="10"/>
        <v>7.2355325463000011E-2</v>
      </c>
      <c r="J69" s="32">
        <f t="shared" si="11"/>
        <v>3.0150464120432107E-2</v>
      </c>
      <c r="K69" s="32">
        <f t="shared" si="12"/>
        <v>-1.4687562408325175E-2</v>
      </c>
      <c r="L69" s="32">
        <f t="shared" si="13"/>
        <v>-6.1203072555491012E-3</v>
      </c>
      <c r="M69" s="32">
        <f t="shared" ca="1" si="14"/>
        <v>-3.065643540990514E-2</v>
      </c>
      <c r="N69" s="32">
        <f t="shared" ca="1" si="15"/>
        <v>2.1076313078423737E-5</v>
      </c>
      <c r="O69" s="122">
        <f t="shared" ca="1" si="16"/>
        <v>4037480651.7882895</v>
      </c>
      <c r="P69" s="32">
        <f t="shared" ca="1" si="17"/>
        <v>934781741.74889874</v>
      </c>
      <c r="Q69" s="32">
        <f t="shared" ca="1" si="18"/>
        <v>7808591.3295660187</v>
      </c>
      <c r="R69" s="16">
        <f t="shared" ca="1" si="19"/>
        <v>-4.5908945836757933E-3</v>
      </c>
    </row>
    <row r="70" spans="1:18">
      <c r="A70" s="71">
        <v>4172</v>
      </c>
      <c r="B70" s="71">
        <v>-3.5864029996446334E-2</v>
      </c>
      <c r="C70" s="71">
        <v>0.5</v>
      </c>
      <c r="D70" s="72">
        <f t="shared" si="5"/>
        <v>0.41720000000000002</v>
      </c>
      <c r="E70" s="72">
        <f t="shared" si="6"/>
        <v>-3.5864029996446334E-2</v>
      </c>
      <c r="F70" s="32">
        <f t="shared" si="7"/>
        <v>0.20860000000000001</v>
      </c>
      <c r="G70" s="32">
        <f t="shared" si="8"/>
        <v>-1.7932014998223167E-2</v>
      </c>
      <c r="H70" s="32">
        <f t="shared" si="9"/>
        <v>8.7027920000000009E-2</v>
      </c>
      <c r="I70" s="32">
        <f t="shared" si="10"/>
        <v>3.6308048224000002E-2</v>
      </c>
      <c r="J70" s="32">
        <f t="shared" si="11"/>
        <v>1.5147717719052801E-2</v>
      </c>
      <c r="K70" s="32">
        <f t="shared" si="12"/>
        <v>-7.4812366572587054E-3</v>
      </c>
      <c r="L70" s="32">
        <f t="shared" si="13"/>
        <v>-3.1211719334083318E-3</v>
      </c>
      <c r="M70" s="32">
        <f t="shared" ca="1" si="14"/>
        <v>-3.0705817704983603E-2</v>
      </c>
      <c r="N70" s="32">
        <f t="shared" ca="1" si="15"/>
        <v>1.33035770218986E-5</v>
      </c>
      <c r="O70" s="122">
        <f t="shared" ca="1" si="16"/>
        <v>1009240249.2984416</v>
      </c>
      <c r="P70" s="32">
        <f t="shared" ca="1" si="17"/>
        <v>234391110.41439885</v>
      </c>
      <c r="Q70" s="32">
        <f t="shared" ca="1" si="18"/>
        <v>1964984.2641328815</v>
      </c>
      <c r="R70" s="16">
        <f t="shared" ca="1" si="19"/>
        <v>-5.1582122914627312E-3</v>
      </c>
    </row>
    <row r="71" spans="1:18">
      <c r="A71" s="71">
        <v>4172.5</v>
      </c>
      <c r="B71" s="71">
        <v>-3.6895700002787635E-2</v>
      </c>
      <c r="C71" s="71">
        <v>0.4</v>
      </c>
      <c r="D71" s="72">
        <f t="shared" si="5"/>
        <v>0.41725000000000001</v>
      </c>
      <c r="E71" s="72">
        <f t="shared" si="6"/>
        <v>-3.6895700002787635E-2</v>
      </c>
      <c r="F71" s="32">
        <f t="shared" si="7"/>
        <v>0.16690000000000002</v>
      </c>
      <c r="G71" s="32">
        <f t="shared" si="8"/>
        <v>-1.4758280001115055E-2</v>
      </c>
      <c r="H71" s="32">
        <f t="shared" si="9"/>
        <v>6.9639025000000007E-2</v>
      </c>
      <c r="I71" s="32">
        <f t="shared" si="10"/>
        <v>2.9056883181250003E-2</v>
      </c>
      <c r="J71" s="32">
        <f t="shared" si="11"/>
        <v>1.2123984507376563E-2</v>
      </c>
      <c r="K71" s="32">
        <f t="shared" si="12"/>
        <v>-6.1578923304652566E-3</v>
      </c>
      <c r="L71" s="32">
        <f t="shared" si="13"/>
        <v>-2.5693805748866283E-3</v>
      </c>
      <c r="M71" s="32">
        <f t="shared" ca="1" si="14"/>
        <v>-3.0710756421277255E-2</v>
      </c>
      <c r="N71" s="32">
        <f t="shared" ca="1" si="15"/>
        <v>1.530141084258658E-5</v>
      </c>
      <c r="O71" s="122">
        <f t="shared" ca="1" si="16"/>
        <v>645905443.05839503</v>
      </c>
      <c r="P71" s="32">
        <f t="shared" ca="1" si="17"/>
        <v>150054874.28078198</v>
      </c>
      <c r="Q71" s="32">
        <f t="shared" ca="1" si="18"/>
        <v>1258413.0424721895</v>
      </c>
      <c r="R71" s="16">
        <f t="shared" ca="1" si="19"/>
        <v>-6.1849435815103798E-3</v>
      </c>
    </row>
    <row r="72" spans="1:18">
      <c r="A72" s="71">
        <v>4189</v>
      </c>
      <c r="B72" s="71">
        <v>-3.5440809995634481E-2</v>
      </c>
      <c r="C72" s="71">
        <v>0.5</v>
      </c>
      <c r="D72" s="72">
        <f t="shared" si="5"/>
        <v>0.41889999999999999</v>
      </c>
      <c r="E72" s="72">
        <f t="shared" si="6"/>
        <v>-3.5440809995634481E-2</v>
      </c>
      <c r="F72" s="32">
        <f t="shared" si="7"/>
        <v>0.20945</v>
      </c>
      <c r="G72" s="32">
        <f t="shared" si="8"/>
        <v>-1.7720404997817241E-2</v>
      </c>
      <c r="H72" s="32">
        <f t="shared" si="9"/>
        <v>8.7738604999999997E-2</v>
      </c>
      <c r="I72" s="32">
        <f t="shared" si="10"/>
        <v>3.6753701634500001E-2</v>
      </c>
      <c r="J72" s="32">
        <f t="shared" si="11"/>
        <v>1.5396125614692051E-2</v>
      </c>
      <c r="K72" s="32">
        <f t="shared" si="12"/>
        <v>-7.4230776535856424E-3</v>
      </c>
      <c r="L72" s="32">
        <f t="shared" si="13"/>
        <v>-3.1095272290870253E-3</v>
      </c>
      <c r="M72" s="32">
        <f t="shared" ca="1" si="14"/>
        <v>-3.0873783711119981E-2</v>
      </c>
      <c r="N72" s="32">
        <f t="shared" ca="1" si="15"/>
        <v>1.0428864541723161E-5</v>
      </c>
      <c r="O72" s="122">
        <f t="shared" ca="1" si="16"/>
        <v>1008798113.9397807</v>
      </c>
      <c r="P72" s="32">
        <f t="shared" ca="1" si="17"/>
        <v>236764998.14503103</v>
      </c>
      <c r="Q72" s="32">
        <f t="shared" ca="1" si="18"/>
        <v>2008964.4955816716</v>
      </c>
      <c r="R72" s="16">
        <f t="shared" ca="1" si="19"/>
        <v>-4.5670262845145006E-3</v>
      </c>
    </row>
    <row r="73" spans="1:18">
      <c r="A73" s="71">
        <v>4199.5</v>
      </c>
      <c r="B73" s="71">
        <v>-3.3505879997392185E-2</v>
      </c>
      <c r="C73" s="71">
        <v>0.4</v>
      </c>
      <c r="D73" s="72">
        <f t="shared" si="5"/>
        <v>0.41994999999999999</v>
      </c>
      <c r="E73" s="72">
        <f t="shared" si="6"/>
        <v>-3.3505879997392185E-2</v>
      </c>
      <c r="F73" s="32">
        <f t="shared" si="7"/>
        <v>0.16798000000000002</v>
      </c>
      <c r="G73" s="32">
        <f t="shared" si="8"/>
        <v>-1.3402351998956875E-2</v>
      </c>
      <c r="H73" s="32">
        <f t="shared" si="9"/>
        <v>7.0543201E-2</v>
      </c>
      <c r="I73" s="32">
        <f t="shared" si="10"/>
        <v>2.9624617259949998E-2</v>
      </c>
      <c r="J73" s="32">
        <f t="shared" si="11"/>
        <v>1.2440858018316001E-2</v>
      </c>
      <c r="K73" s="32">
        <f t="shared" si="12"/>
        <v>-5.6283177219619398E-3</v>
      </c>
      <c r="L73" s="32">
        <f t="shared" si="13"/>
        <v>-2.3636120273379164E-3</v>
      </c>
      <c r="M73" s="32">
        <f t="shared" ca="1" si="14"/>
        <v>-3.0977578533302057E-2</v>
      </c>
      <c r="N73" s="32">
        <f t="shared" ca="1" si="15"/>
        <v>2.5569233173281133E-6</v>
      </c>
      <c r="O73" s="122">
        <f t="shared" ca="1" si="16"/>
        <v>645455807.5633198</v>
      </c>
      <c r="P73" s="32">
        <f t="shared" ca="1" si="17"/>
        <v>152472232.60564083</v>
      </c>
      <c r="Q73" s="32">
        <f t="shared" ca="1" si="18"/>
        <v>1303288.8329206603</v>
      </c>
      <c r="R73" s="16">
        <f t="shared" ca="1" si="19"/>
        <v>-2.5283014640901276E-3</v>
      </c>
    </row>
    <row r="74" spans="1:18">
      <c r="A74" s="71">
        <v>5994</v>
      </c>
      <c r="B74" s="71">
        <v>-4.7069510001165327E-2</v>
      </c>
      <c r="C74" s="71">
        <v>1</v>
      </c>
      <c r="D74" s="72">
        <f t="shared" si="5"/>
        <v>0.59940000000000004</v>
      </c>
      <c r="E74" s="72">
        <f t="shared" si="6"/>
        <v>-4.7069510001165327E-2</v>
      </c>
      <c r="F74" s="32">
        <f t="shared" si="7"/>
        <v>0.59940000000000004</v>
      </c>
      <c r="G74" s="32">
        <f t="shared" si="8"/>
        <v>-4.7069510001165327E-2</v>
      </c>
      <c r="H74" s="32">
        <f t="shared" si="9"/>
        <v>0.35928036000000008</v>
      </c>
      <c r="I74" s="32">
        <f t="shared" si="10"/>
        <v>0.21535264778400007</v>
      </c>
      <c r="J74" s="32">
        <f t="shared" si="11"/>
        <v>0.12908237708172965</v>
      </c>
      <c r="K74" s="32">
        <f t="shared" si="12"/>
        <v>-2.8213464294698499E-2</v>
      </c>
      <c r="L74" s="32">
        <f t="shared" si="13"/>
        <v>-1.6911150498242281E-2</v>
      </c>
      <c r="M74" s="32">
        <f t="shared" ca="1" si="14"/>
        <v>-4.9289965911475199E-2</v>
      </c>
      <c r="N74" s="32">
        <f t="shared" ca="1" si="15"/>
        <v>4.9304244496300438E-6</v>
      </c>
      <c r="O74" s="122">
        <f t="shared" ca="1" si="16"/>
        <v>3832752843.872479</v>
      </c>
      <c r="P74" s="32">
        <f t="shared" ca="1" si="17"/>
        <v>2274064124.9696565</v>
      </c>
      <c r="Q74" s="32">
        <f t="shared" ca="1" si="18"/>
        <v>39467263.047678791</v>
      </c>
      <c r="R74" s="16">
        <f t="shared" ca="1" si="19"/>
        <v>2.2204559103098723E-3</v>
      </c>
    </row>
    <row r="75" spans="1:18">
      <c r="A75" s="71">
        <v>6187</v>
      </c>
      <c r="B75" s="71">
        <v>-5.4894130000320729E-2</v>
      </c>
      <c r="C75" s="71">
        <v>0.5</v>
      </c>
      <c r="D75" s="72">
        <f t="shared" si="5"/>
        <v>0.61870000000000003</v>
      </c>
      <c r="E75" s="72">
        <f t="shared" si="6"/>
        <v>-5.4894130000320729E-2</v>
      </c>
      <c r="F75" s="32">
        <f t="shared" si="7"/>
        <v>0.30935000000000001</v>
      </c>
      <c r="G75" s="32">
        <f t="shared" si="8"/>
        <v>-2.7447065000160364E-2</v>
      </c>
      <c r="H75" s="32">
        <f t="shared" si="9"/>
        <v>0.19139484500000001</v>
      </c>
      <c r="I75" s="32">
        <f t="shared" si="10"/>
        <v>0.11841599060150002</v>
      </c>
      <c r="J75" s="32">
        <f t="shared" si="11"/>
        <v>7.3263973385148062E-2</v>
      </c>
      <c r="K75" s="32">
        <f t="shared" si="12"/>
        <v>-1.6981499115599218E-2</v>
      </c>
      <c r="L75" s="32">
        <f t="shared" si="13"/>
        <v>-1.0506453502821237E-2</v>
      </c>
      <c r="M75" s="32">
        <f t="shared" ca="1" si="14"/>
        <v>-5.132737871813503E-2</v>
      </c>
      <c r="N75" s="32">
        <f t="shared" ca="1" si="15"/>
        <v>6.3608573544866616E-6</v>
      </c>
      <c r="O75" s="122">
        <f t="shared" ca="1" si="16"/>
        <v>952361370.47250366</v>
      </c>
      <c r="P75" s="32">
        <f t="shared" ca="1" si="17"/>
        <v>613877907.49665225</v>
      </c>
      <c r="Q75" s="32">
        <f t="shared" ca="1" si="18"/>
        <v>11111302.3617965</v>
      </c>
      <c r="R75" s="16">
        <f t="shared" ca="1" si="19"/>
        <v>-3.5667512821856984E-3</v>
      </c>
    </row>
    <row r="76" spans="1:18">
      <c r="A76" s="71">
        <v>6376.5</v>
      </c>
      <c r="B76" s="71">
        <v>-5.7297059996926691E-2</v>
      </c>
      <c r="C76" s="71">
        <v>0.4</v>
      </c>
      <c r="D76" s="72">
        <f t="shared" si="5"/>
        <v>0.63765000000000005</v>
      </c>
      <c r="E76" s="72">
        <f t="shared" si="6"/>
        <v>-5.7297059996926691E-2</v>
      </c>
      <c r="F76" s="32">
        <f t="shared" si="7"/>
        <v>0.25506000000000001</v>
      </c>
      <c r="G76" s="32">
        <f t="shared" si="8"/>
        <v>-2.2918823998770679E-2</v>
      </c>
      <c r="H76" s="32">
        <f t="shared" si="9"/>
        <v>0.16263900900000003</v>
      </c>
      <c r="I76" s="32">
        <f t="shared" si="10"/>
        <v>0.10370676408885003</v>
      </c>
      <c r="J76" s="32">
        <f t="shared" si="11"/>
        <v>6.6128618121255228E-2</v>
      </c>
      <c r="K76" s="32">
        <f t="shared" si="12"/>
        <v>-1.4614188122816124E-2</v>
      </c>
      <c r="L76" s="32">
        <f t="shared" si="13"/>
        <v>-9.3187370565137023E-3</v>
      </c>
      <c r="M76" s="32">
        <f t="shared" ca="1" si="14"/>
        <v>-5.3340674191666181E-2</v>
      </c>
      <c r="N76" s="32">
        <f t="shared" ca="1" si="15"/>
        <v>6.261195456026745E-6</v>
      </c>
      <c r="O76" s="122">
        <f t="shared" ca="1" si="16"/>
        <v>605801738.47057271</v>
      </c>
      <c r="P76" s="32">
        <f t="shared" ca="1" si="17"/>
        <v>422648991.52259803</v>
      </c>
      <c r="Q76" s="32">
        <f t="shared" ca="1" si="18"/>
        <v>7945968.3327705795</v>
      </c>
      <c r="R76" s="16">
        <f t="shared" ca="1" si="19"/>
        <v>-3.9563858052605108E-3</v>
      </c>
    </row>
    <row r="77" spans="1:18">
      <c r="A77" s="71">
        <v>7041.5</v>
      </c>
      <c r="B77" s="71">
        <v>-5.9418159995402675E-2</v>
      </c>
      <c r="C77" s="71">
        <v>1</v>
      </c>
      <c r="D77" s="72">
        <f t="shared" si="5"/>
        <v>0.70415000000000005</v>
      </c>
      <c r="E77" s="72">
        <f t="shared" si="6"/>
        <v>-5.9418159995402675E-2</v>
      </c>
      <c r="F77" s="32">
        <f t="shared" si="7"/>
        <v>0.70415000000000005</v>
      </c>
      <c r="G77" s="32">
        <f t="shared" si="8"/>
        <v>-5.9418159995402675E-2</v>
      </c>
      <c r="H77" s="32">
        <f t="shared" si="9"/>
        <v>0.49582722250000005</v>
      </c>
      <c r="I77" s="32">
        <f t="shared" si="10"/>
        <v>0.34913673872337508</v>
      </c>
      <c r="J77" s="32">
        <f t="shared" si="11"/>
        <v>0.2458446345720646</v>
      </c>
      <c r="K77" s="32">
        <f t="shared" si="12"/>
        <v>-4.1839297360762799E-2</v>
      </c>
      <c r="L77" s="32">
        <f t="shared" si="13"/>
        <v>-2.9461141236581126E-2</v>
      </c>
      <c r="M77" s="32">
        <f t="shared" ca="1" si="14"/>
        <v>-6.0506387108623307E-2</v>
      </c>
      <c r="N77" s="32">
        <f t="shared" ca="1" si="15"/>
        <v>1.1842382499485089E-6</v>
      </c>
      <c r="O77" s="122">
        <f t="shared" ca="1" si="16"/>
        <v>3702598674.8534975</v>
      </c>
      <c r="P77" s="32">
        <f t="shared" ca="1" si="17"/>
        <v>3358000078.836648</v>
      </c>
      <c r="Q77" s="32">
        <f t="shared" ca="1" si="18"/>
        <v>70651199.483263865</v>
      </c>
      <c r="R77" s="16">
        <f t="shared" ca="1" si="19"/>
        <v>1.0882271132206314E-3</v>
      </c>
    </row>
    <row r="78" spans="1:18">
      <c r="A78" s="71">
        <v>7334</v>
      </c>
      <c r="B78" s="71">
        <v>-6.0945110002649017E-2</v>
      </c>
      <c r="C78" s="71">
        <v>0.5</v>
      </c>
      <c r="D78" s="72">
        <f t="shared" si="5"/>
        <v>0.73340000000000005</v>
      </c>
      <c r="E78" s="72">
        <f t="shared" si="6"/>
        <v>-6.0945110002649017E-2</v>
      </c>
      <c r="F78" s="32">
        <f t="shared" si="7"/>
        <v>0.36670000000000003</v>
      </c>
      <c r="G78" s="32">
        <f t="shared" si="8"/>
        <v>-3.0472555001324508E-2</v>
      </c>
      <c r="H78" s="32">
        <f t="shared" si="9"/>
        <v>0.26893778000000002</v>
      </c>
      <c r="I78" s="32">
        <f t="shared" si="10"/>
        <v>0.19723896785200001</v>
      </c>
      <c r="J78" s="32">
        <f t="shared" si="11"/>
        <v>0.14465505902265682</v>
      </c>
      <c r="K78" s="32">
        <f t="shared" si="12"/>
        <v>-2.2348571837971395E-2</v>
      </c>
      <c r="L78" s="32">
        <f t="shared" si="13"/>
        <v>-1.6390442585968223E-2</v>
      </c>
      <c r="M78" s="32">
        <f t="shared" ca="1" si="14"/>
        <v>-6.3707799056599193E-2</v>
      </c>
      <c r="N78" s="32">
        <f t="shared" ca="1" si="15"/>
        <v>3.8162254044080601E-6</v>
      </c>
      <c r="O78" s="122">
        <f t="shared" ca="1" si="16"/>
        <v>916173182.1247555</v>
      </c>
      <c r="P78" s="32">
        <f t="shared" ca="1" si="17"/>
        <v>926351232.90173519</v>
      </c>
      <c r="Q78" s="32">
        <f t="shared" ca="1" si="18"/>
        <v>20314575.578625504</v>
      </c>
      <c r="R78" s="16">
        <f t="shared" ca="1" si="19"/>
        <v>2.7626890539501764E-3</v>
      </c>
    </row>
    <row r="79" spans="1:18">
      <c r="A79" s="71">
        <v>7339.5</v>
      </c>
      <c r="B79" s="71">
        <v>-6.0393480001948774E-2</v>
      </c>
      <c r="C79" s="71">
        <v>1</v>
      </c>
      <c r="D79" s="72">
        <f t="shared" si="5"/>
        <v>0.73394999999999999</v>
      </c>
      <c r="E79" s="72">
        <f t="shared" si="6"/>
        <v>-6.0393480001948774E-2</v>
      </c>
      <c r="F79" s="32">
        <f t="shared" si="7"/>
        <v>0.73394999999999999</v>
      </c>
      <c r="G79" s="32">
        <f t="shared" si="8"/>
        <v>-6.0393480001948774E-2</v>
      </c>
      <c r="H79" s="32">
        <f t="shared" si="9"/>
        <v>0.5386826025</v>
      </c>
      <c r="I79" s="32">
        <f t="shared" si="10"/>
        <v>0.395366096104875</v>
      </c>
      <c r="J79" s="32">
        <f t="shared" si="11"/>
        <v>0.29017894623617302</v>
      </c>
      <c r="K79" s="32">
        <f t="shared" si="12"/>
        <v>-4.4325794647430306E-2</v>
      </c>
      <c r="L79" s="32">
        <f t="shared" si="13"/>
        <v>-3.2532916981481474E-2</v>
      </c>
      <c r="M79" s="32">
        <f t="shared" ca="1" si="14"/>
        <v>-6.3768286670559518E-2</v>
      </c>
      <c r="N79" s="32">
        <f t="shared" ca="1" si="15"/>
        <v>1.138932005049955E-5</v>
      </c>
      <c r="O79" s="122">
        <f t="shared" ca="1" si="16"/>
        <v>3663973625.5060039</v>
      </c>
      <c r="P79" s="32">
        <f t="shared" ca="1" si="17"/>
        <v>3712130908.7898808</v>
      </c>
      <c r="Q79" s="32">
        <f t="shared" ca="1" si="18"/>
        <v>81466067.110908732</v>
      </c>
      <c r="R79" s="16">
        <f t="shared" ca="1" si="19"/>
        <v>3.3748066686107442E-3</v>
      </c>
    </row>
    <row r="80" spans="1:18">
      <c r="A80" s="71">
        <v>7367.5</v>
      </c>
      <c r="B80" s="71">
        <v>-6.0267000000749249E-2</v>
      </c>
      <c r="C80" s="71">
        <v>0.5</v>
      </c>
      <c r="D80" s="72">
        <f t="shared" si="5"/>
        <v>0.73675000000000002</v>
      </c>
      <c r="E80" s="72">
        <f t="shared" si="6"/>
        <v>-6.0267000000749249E-2</v>
      </c>
      <c r="F80" s="32">
        <f t="shared" si="7"/>
        <v>0.36837500000000001</v>
      </c>
      <c r="G80" s="32">
        <f t="shared" si="8"/>
        <v>-3.0133500000374625E-2</v>
      </c>
      <c r="H80" s="32">
        <f t="shared" si="9"/>
        <v>0.27140028124999999</v>
      </c>
      <c r="I80" s="32">
        <f t="shared" si="10"/>
        <v>0.19995415721093748</v>
      </c>
      <c r="J80" s="32">
        <f t="shared" si="11"/>
        <v>0.1473162253251582</v>
      </c>
      <c r="K80" s="32">
        <f t="shared" si="12"/>
        <v>-2.2200856125276006E-2</v>
      </c>
      <c r="L80" s="32">
        <f t="shared" si="13"/>
        <v>-1.6356480750297098E-2</v>
      </c>
      <c r="M80" s="32">
        <f t="shared" ca="1" si="14"/>
        <v>-6.407638965257062E-2</v>
      </c>
      <c r="N80" s="32">
        <f t="shared" ca="1" si="15"/>
        <v>7.2557247597018731E-6</v>
      </c>
      <c r="O80" s="122">
        <f t="shared" ca="1" si="16"/>
        <v>915077283.85663617</v>
      </c>
      <c r="P80" s="32">
        <f t="shared" ca="1" si="17"/>
        <v>936620986.72304225</v>
      </c>
      <c r="Q80" s="32">
        <f t="shared" ca="1" si="18"/>
        <v>20632147.451344535</v>
      </c>
      <c r="R80" s="16">
        <f t="shared" ca="1" si="19"/>
        <v>3.809389651821371E-3</v>
      </c>
    </row>
    <row r="81" spans="1:18">
      <c r="A81" s="71">
        <v>7398</v>
      </c>
      <c r="B81" s="71">
        <v>-6.1598870001034811E-2</v>
      </c>
      <c r="C81" s="71">
        <v>1</v>
      </c>
      <c r="D81" s="72">
        <f t="shared" si="5"/>
        <v>0.73980000000000001</v>
      </c>
      <c r="E81" s="72">
        <f t="shared" si="6"/>
        <v>-6.1598870001034811E-2</v>
      </c>
      <c r="F81" s="32">
        <f t="shared" si="7"/>
        <v>0.73980000000000001</v>
      </c>
      <c r="G81" s="32">
        <f t="shared" si="8"/>
        <v>-6.1598870001034811E-2</v>
      </c>
      <c r="H81" s="32">
        <f t="shared" si="9"/>
        <v>0.54730403999999999</v>
      </c>
      <c r="I81" s="32">
        <f t="shared" si="10"/>
        <v>0.40489552879200003</v>
      </c>
      <c r="J81" s="32">
        <f t="shared" si="11"/>
        <v>0.29954171220032161</v>
      </c>
      <c r="K81" s="32">
        <f t="shared" si="12"/>
        <v>-4.5570844026765554E-2</v>
      </c>
      <c r="L81" s="32">
        <f t="shared" si="13"/>
        <v>-3.371331041100116E-2</v>
      </c>
      <c r="M81" s="32">
        <f t="shared" ca="1" si="14"/>
        <v>-6.4412317664885602E-2</v>
      </c>
      <c r="N81" s="32">
        <f t="shared" ca="1" si="15"/>
        <v>7.9154877572274701E-6</v>
      </c>
      <c r="O81" s="122">
        <f t="shared" ca="1" si="16"/>
        <v>3656310617.0648475</v>
      </c>
      <c r="P81" s="32">
        <f t="shared" ca="1" si="17"/>
        <v>3784117036.6659002</v>
      </c>
      <c r="Q81" s="32">
        <f t="shared" ca="1" si="18"/>
        <v>83695151.628397286</v>
      </c>
      <c r="R81" s="16">
        <f t="shared" ca="1" si="19"/>
        <v>2.8134476638507905E-3</v>
      </c>
    </row>
    <row r="82" spans="1:18">
      <c r="A82" s="71">
        <v>7398</v>
      </c>
      <c r="B82" s="71">
        <v>-6.1598870001034811E-2</v>
      </c>
      <c r="C82" s="71">
        <v>1</v>
      </c>
      <c r="D82" s="72">
        <f t="shared" si="5"/>
        <v>0.73980000000000001</v>
      </c>
      <c r="E82" s="72">
        <f t="shared" si="6"/>
        <v>-6.1598870001034811E-2</v>
      </c>
      <c r="F82" s="32">
        <f t="shared" si="7"/>
        <v>0.73980000000000001</v>
      </c>
      <c r="G82" s="32">
        <f t="shared" si="8"/>
        <v>-6.1598870001034811E-2</v>
      </c>
      <c r="H82" s="32">
        <f t="shared" si="9"/>
        <v>0.54730403999999999</v>
      </c>
      <c r="I82" s="32">
        <f t="shared" si="10"/>
        <v>0.40489552879200003</v>
      </c>
      <c r="J82" s="32">
        <f t="shared" si="11"/>
        <v>0.29954171220032161</v>
      </c>
      <c r="K82" s="32">
        <f t="shared" si="12"/>
        <v>-4.5570844026765554E-2</v>
      </c>
      <c r="L82" s="32">
        <f t="shared" si="13"/>
        <v>-3.371331041100116E-2</v>
      </c>
      <c r="M82" s="32">
        <f t="shared" ca="1" si="14"/>
        <v>-6.4412317664885602E-2</v>
      </c>
      <c r="N82" s="32">
        <f t="shared" ca="1" si="15"/>
        <v>7.9154877572274701E-6</v>
      </c>
      <c r="O82" s="122">
        <f t="shared" ca="1" si="16"/>
        <v>3656310617.0648475</v>
      </c>
      <c r="P82" s="32">
        <f t="shared" ca="1" si="17"/>
        <v>3784117036.6659002</v>
      </c>
      <c r="Q82" s="32">
        <f t="shared" ca="1" si="18"/>
        <v>83695151.628397286</v>
      </c>
      <c r="R82" s="16">
        <f t="shared" ca="1" si="19"/>
        <v>2.8134476638507905E-3</v>
      </c>
    </row>
    <row r="83" spans="1:18">
      <c r="A83" s="71">
        <v>7398</v>
      </c>
      <c r="B83" s="71">
        <v>-6.0698870001942851E-2</v>
      </c>
      <c r="C83" s="71">
        <v>1</v>
      </c>
      <c r="D83" s="72">
        <f t="shared" si="5"/>
        <v>0.73980000000000001</v>
      </c>
      <c r="E83" s="72">
        <f t="shared" si="6"/>
        <v>-6.0698870001942851E-2</v>
      </c>
      <c r="F83" s="32">
        <f t="shared" si="7"/>
        <v>0.73980000000000001</v>
      </c>
      <c r="G83" s="32">
        <f t="shared" si="8"/>
        <v>-6.0698870001942851E-2</v>
      </c>
      <c r="H83" s="32">
        <f t="shared" si="9"/>
        <v>0.54730403999999999</v>
      </c>
      <c r="I83" s="32">
        <f t="shared" si="10"/>
        <v>0.40489552879200003</v>
      </c>
      <c r="J83" s="32">
        <f t="shared" si="11"/>
        <v>0.29954171220032161</v>
      </c>
      <c r="K83" s="32">
        <f t="shared" si="12"/>
        <v>-4.4905024027437325E-2</v>
      </c>
      <c r="L83" s="32">
        <f t="shared" si="13"/>
        <v>-3.3220736775498132E-2</v>
      </c>
      <c r="M83" s="32">
        <f t="shared" ca="1" si="14"/>
        <v>-6.4412317664885602E-2</v>
      </c>
      <c r="N83" s="32">
        <f t="shared" ca="1" si="15"/>
        <v>1.3789693545414979E-5</v>
      </c>
      <c r="O83" s="122">
        <f t="shared" ca="1" si="16"/>
        <v>3656310617.0648475</v>
      </c>
      <c r="P83" s="32">
        <f t="shared" ca="1" si="17"/>
        <v>3784117036.6659002</v>
      </c>
      <c r="Q83" s="32">
        <f t="shared" ca="1" si="18"/>
        <v>83695151.628397286</v>
      </c>
      <c r="R83" s="16">
        <f t="shared" ca="1" si="19"/>
        <v>3.713447662942751E-3</v>
      </c>
    </row>
    <row r="84" spans="1:18">
      <c r="A84" s="71">
        <v>8032.5</v>
      </c>
      <c r="B84" s="71">
        <v>-6.3288099998317193E-2</v>
      </c>
      <c r="C84" s="71">
        <v>1</v>
      </c>
      <c r="D84" s="72">
        <f t="shared" si="5"/>
        <v>0.80325000000000002</v>
      </c>
      <c r="E84" s="72">
        <f t="shared" si="6"/>
        <v>-6.3288099998317193E-2</v>
      </c>
      <c r="F84" s="32">
        <f t="shared" si="7"/>
        <v>0.80325000000000002</v>
      </c>
      <c r="G84" s="32">
        <f t="shared" si="8"/>
        <v>-6.3288099998317193E-2</v>
      </c>
      <c r="H84" s="32">
        <f t="shared" si="9"/>
        <v>0.64521056250000008</v>
      </c>
      <c r="I84" s="32">
        <f t="shared" si="10"/>
        <v>0.51826538432812508</v>
      </c>
      <c r="J84" s="32">
        <f t="shared" si="11"/>
        <v>0.4162966699615665</v>
      </c>
      <c r="K84" s="32">
        <f t="shared" si="12"/>
        <v>-5.0836166323648284E-2</v>
      </c>
      <c r="L84" s="32">
        <f t="shared" si="13"/>
        <v>-4.0834150599470487E-2</v>
      </c>
      <c r="M84" s="32">
        <f t="shared" ca="1" si="14"/>
        <v>-7.1475411040674633E-2</v>
      </c>
      <c r="N84" s="32">
        <f t="shared" ca="1" si="15"/>
        <v>6.703206210430807E-5</v>
      </c>
      <c r="O84" s="122">
        <f t="shared" ca="1" si="16"/>
        <v>3571536922.8930078</v>
      </c>
      <c r="P84" s="32">
        <f t="shared" ca="1" si="17"/>
        <v>4618217505.8961344</v>
      </c>
      <c r="Q84" s="32">
        <f t="shared" ca="1" si="18"/>
        <v>110182799.11211053</v>
      </c>
      <c r="R84" s="16">
        <f t="shared" ca="1" si="19"/>
        <v>8.1873110423574397E-3</v>
      </c>
    </row>
    <row r="85" spans="1:18">
      <c r="A85" s="71">
        <v>8247</v>
      </c>
      <c r="B85" s="71">
        <v>-6.5374529993277974E-2</v>
      </c>
      <c r="C85" s="71">
        <v>1</v>
      </c>
      <c r="D85" s="72">
        <f t="shared" ref="D85:D148" si="20">A85/A$18</f>
        <v>0.82469999999999999</v>
      </c>
      <c r="E85" s="72">
        <f t="shared" ref="E85:E148" si="21">B85/B$18</f>
        <v>-6.5374529993277974E-2</v>
      </c>
      <c r="F85" s="32">
        <f t="shared" ref="F85:F148" si="22">$C85*D85</f>
        <v>0.82469999999999999</v>
      </c>
      <c r="G85" s="32">
        <f t="shared" ref="G85:G148" si="23">$C85*E85</f>
        <v>-6.5374529993277974E-2</v>
      </c>
      <c r="H85" s="32">
        <f t="shared" ref="H85:H148" si="24">C85*D85*D85</f>
        <v>0.68013009000000002</v>
      </c>
      <c r="I85" s="32">
        <f t="shared" ref="I85:I148" si="25">C85*D85*D85*D85</f>
        <v>0.56090328522300004</v>
      </c>
      <c r="J85" s="32">
        <f t="shared" ref="J85:J148" si="26">C85*D85*D85*D85*D85</f>
        <v>0.4625769393234081</v>
      </c>
      <c r="K85" s="32">
        <f t="shared" ref="K85:K148" si="27">C85*E85*D85</f>
        <v>-5.3914374885456348E-2</v>
      </c>
      <c r="L85" s="32">
        <f t="shared" ref="L85:L148" si="28">C85*E85*D85*D85</f>
        <v>-4.4463184968035849E-2</v>
      </c>
      <c r="M85" s="32">
        <f t="shared" ref="M85:M148" ca="1" si="29">+E$4+E$5*D85+E$6*D85^2</f>
        <v>-7.3895406669451894E-2</v>
      </c>
      <c r="N85" s="32">
        <f t="shared" ref="N85:N148" ca="1" si="30">C85*(M85-E85)^2</f>
        <v>7.2605339330564692E-5</v>
      </c>
      <c r="O85" s="122">
        <f t="shared" ref="O85:O148" ca="1" si="31">(C85*O$1-O$2*F85+O$3*H85)^2</f>
        <v>3542206132.96734</v>
      </c>
      <c r="P85" s="32">
        <f t="shared" ref="P85:P148" ca="1" si="32">(-C85*O$2+O$4*F85-O$5*H85)^2</f>
        <v>4922782659.9319534</v>
      </c>
      <c r="Q85" s="32">
        <f t="shared" ref="Q85:Q148" ca="1" si="33">+(C85*O$3-F85*O$5+H85*O$6)^2</f>
        <v>120123054.35170217</v>
      </c>
      <c r="R85" s="16">
        <f t="shared" ref="R85:R148" ca="1" si="34">+E85-M85</f>
        <v>8.5208766761739191E-3</v>
      </c>
    </row>
    <row r="86" spans="1:18">
      <c r="A86" s="71">
        <v>10149</v>
      </c>
      <c r="B86" s="71">
        <v>-8.714721000433201E-2</v>
      </c>
      <c r="C86" s="71">
        <v>1</v>
      </c>
      <c r="D86" s="72">
        <f t="shared" si="20"/>
        <v>1.0148999999999999</v>
      </c>
      <c r="E86" s="72">
        <f t="shared" si="21"/>
        <v>-8.714721000433201E-2</v>
      </c>
      <c r="F86" s="32">
        <f t="shared" si="22"/>
        <v>1.0148999999999999</v>
      </c>
      <c r="G86" s="32">
        <f t="shared" si="23"/>
        <v>-8.714721000433201E-2</v>
      </c>
      <c r="H86" s="32">
        <f t="shared" si="24"/>
        <v>1.0300220099999999</v>
      </c>
      <c r="I86" s="32">
        <f t="shared" si="25"/>
        <v>1.0453693379489999</v>
      </c>
      <c r="J86" s="32">
        <f t="shared" si="26"/>
        <v>1.0609453410844398</v>
      </c>
      <c r="K86" s="32">
        <f t="shared" si="27"/>
        <v>-8.8445703433396555E-2</v>
      </c>
      <c r="L86" s="32">
        <f t="shared" si="28"/>
        <v>-8.9763544414554156E-2</v>
      </c>
      <c r="M86" s="32">
        <f t="shared" ca="1" si="29"/>
        <v>-9.6066410053001691E-2</v>
      </c>
      <c r="N86" s="32">
        <f t="shared" ca="1" si="30"/>
        <v>7.9552129508189248E-5</v>
      </c>
      <c r="O86" s="122">
        <f t="shared" ca="1" si="31"/>
        <v>3268344492.3407793</v>
      </c>
      <c r="P86" s="32">
        <f t="shared" ca="1" si="32"/>
        <v>8157015234.9668999</v>
      </c>
      <c r="Q86" s="32">
        <f t="shared" ca="1" si="33"/>
        <v>232039217.64296329</v>
      </c>
      <c r="R86" s="16">
        <f t="shared" ca="1" si="34"/>
        <v>8.9192000486696815E-3</v>
      </c>
    </row>
    <row r="87" spans="1:18">
      <c r="A87" s="71">
        <v>11306</v>
      </c>
      <c r="B87" s="71">
        <v>-9.2844089995196555E-2</v>
      </c>
      <c r="C87" s="71">
        <v>1</v>
      </c>
      <c r="D87" s="72">
        <f t="shared" si="20"/>
        <v>1.1306</v>
      </c>
      <c r="E87" s="72">
        <f t="shared" si="21"/>
        <v>-9.2844089995196555E-2</v>
      </c>
      <c r="F87" s="32">
        <f t="shared" si="22"/>
        <v>1.1306</v>
      </c>
      <c r="G87" s="32">
        <f t="shared" si="23"/>
        <v>-9.2844089995196555E-2</v>
      </c>
      <c r="H87" s="32">
        <f t="shared" si="24"/>
        <v>1.2782563600000001</v>
      </c>
      <c r="I87" s="32">
        <f t="shared" si="25"/>
        <v>1.4451966406160002</v>
      </c>
      <c r="J87" s="32">
        <f t="shared" si="26"/>
        <v>1.6339393218804499</v>
      </c>
      <c r="K87" s="32">
        <f t="shared" si="27"/>
        <v>-0.10496952814856923</v>
      </c>
      <c r="L87" s="32">
        <f t="shared" si="28"/>
        <v>-0.11867854852477237</v>
      </c>
      <c r="M87" s="32">
        <f t="shared" ca="1" si="29"/>
        <v>-0.1101796832439815</v>
      </c>
      <c r="N87" s="32">
        <f t="shared" ca="1" si="30"/>
        <v>3.0052279328731822E-4</v>
      </c>
      <c r="O87" s="122">
        <f t="shared" ca="1" si="31"/>
        <v>3090837559.0957475</v>
      </c>
      <c r="P87" s="32">
        <f t="shared" ca="1" si="32"/>
        <v>10630466292.755882</v>
      </c>
      <c r="Q87" s="32">
        <f t="shared" ca="1" si="33"/>
        <v>323171911.38400555</v>
      </c>
      <c r="R87" s="16">
        <f t="shared" ca="1" si="34"/>
        <v>1.7335593248784947E-2</v>
      </c>
    </row>
    <row r="88" spans="1:18">
      <c r="A88" s="71"/>
      <c r="B88" s="71"/>
      <c r="C88" s="71"/>
      <c r="D88" s="72">
        <f t="shared" si="20"/>
        <v>0</v>
      </c>
      <c r="E88" s="72">
        <f t="shared" si="21"/>
        <v>0</v>
      </c>
      <c r="F88" s="32">
        <f t="shared" si="22"/>
        <v>0</v>
      </c>
      <c r="G88" s="32">
        <f t="shared" si="23"/>
        <v>0</v>
      </c>
      <c r="H88" s="32">
        <f t="shared" si="24"/>
        <v>0</v>
      </c>
      <c r="I88" s="32">
        <f t="shared" si="25"/>
        <v>0</v>
      </c>
      <c r="J88" s="32">
        <f t="shared" si="26"/>
        <v>0</v>
      </c>
      <c r="K88" s="32">
        <f t="shared" si="27"/>
        <v>0</v>
      </c>
      <c r="L88" s="32">
        <f t="shared" si="28"/>
        <v>0</v>
      </c>
      <c r="M88" s="32">
        <f t="shared" ca="1" si="29"/>
        <v>7.4214468061546803E-3</v>
      </c>
      <c r="N88" s="32">
        <f t="shared" ca="1" si="30"/>
        <v>0</v>
      </c>
      <c r="O88" s="122">
        <f t="shared" ca="1" si="31"/>
        <v>0</v>
      </c>
      <c r="P88" s="32">
        <f t="shared" ca="1" si="32"/>
        <v>0</v>
      </c>
      <c r="Q88" s="32">
        <f t="shared" ca="1" si="33"/>
        <v>0</v>
      </c>
      <c r="R88" s="16">
        <f t="shared" ca="1" si="34"/>
        <v>-7.4214468061546803E-3</v>
      </c>
    </row>
    <row r="89" spans="1:18">
      <c r="A89" s="71"/>
      <c r="B89" s="71"/>
      <c r="C89" s="71"/>
      <c r="D89" s="72">
        <f t="shared" si="20"/>
        <v>0</v>
      </c>
      <c r="E89" s="72">
        <f t="shared" si="21"/>
        <v>0</v>
      </c>
      <c r="F89" s="32">
        <f t="shared" si="22"/>
        <v>0</v>
      </c>
      <c r="G89" s="32">
        <f t="shared" si="23"/>
        <v>0</v>
      </c>
      <c r="H89" s="32">
        <f t="shared" si="24"/>
        <v>0</v>
      </c>
      <c r="I89" s="32">
        <f t="shared" si="25"/>
        <v>0</v>
      </c>
      <c r="J89" s="32">
        <f t="shared" si="26"/>
        <v>0</v>
      </c>
      <c r="K89" s="32">
        <f t="shared" si="27"/>
        <v>0</v>
      </c>
      <c r="L89" s="32">
        <f t="shared" si="28"/>
        <v>0</v>
      </c>
      <c r="M89" s="32">
        <f t="shared" ca="1" si="29"/>
        <v>7.4214468061546803E-3</v>
      </c>
      <c r="N89" s="32">
        <f t="shared" ca="1" si="30"/>
        <v>0</v>
      </c>
      <c r="O89" s="122">
        <f t="shared" ca="1" si="31"/>
        <v>0</v>
      </c>
      <c r="P89" s="32">
        <f t="shared" ca="1" si="32"/>
        <v>0</v>
      </c>
      <c r="Q89" s="32">
        <f t="shared" ca="1" si="33"/>
        <v>0</v>
      </c>
      <c r="R89" s="16">
        <f t="shared" ca="1" si="34"/>
        <v>-7.4214468061546803E-3</v>
      </c>
    </row>
    <row r="90" spans="1:18">
      <c r="A90" s="71"/>
      <c r="B90" s="71"/>
      <c r="C90" s="71"/>
      <c r="D90" s="72">
        <f t="shared" si="20"/>
        <v>0</v>
      </c>
      <c r="E90" s="72">
        <f t="shared" si="21"/>
        <v>0</v>
      </c>
      <c r="F90" s="32">
        <f t="shared" si="22"/>
        <v>0</v>
      </c>
      <c r="G90" s="32">
        <f t="shared" si="23"/>
        <v>0</v>
      </c>
      <c r="H90" s="32">
        <f t="shared" si="24"/>
        <v>0</v>
      </c>
      <c r="I90" s="32">
        <f t="shared" si="25"/>
        <v>0</v>
      </c>
      <c r="J90" s="32">
        <f t="shared" si="26"/>
        <v>0</v>
      </c>
      <c r="K90" s="32">
        <f t="shared" si="27"/>
        <v>0</v>
      </c>
      <c r="L90" s="32">
        <f t="shared" si="28"/>
        <v>0</v>
      </c>
      <c r="M90" s="32">
        <f t="shared" ca="1" si="29"/>
        <v>7.4214468061546803E-3</v>
      </c>
      <c r="N90" s="32">
        <f t="shared" ca="1" si="30"/>
        <v>0</v>
      </c>
      <c r="O90" s="122">
        <f t="shared" ca="1" si="31"/>
        <v>0</v>
      </c>
      <c r="P90" s="32">
        <f t="shared" ca="1" si="32"/>
        <v>0</v>
      </c>
      <c r="Q90" s="32">
        <f t="shared" ca="1" si="33"/>
        <v>0</v>
      </c>
      <c r="R90" s="16">
        <f t="shared" ca="1" si="34"/>
        <v>-7.4214468061546803E-3</v>
      </c>
    </row>
    <row r="91" spans="1:18">
      <c r="A91" s="71"/>
      <c r="B91" s="71"/>
      <c r="C91" s="71"/>
      <c r="D91" s="72">
        <f t="shared" si="20"/>
        <v>0</v>
      </c>
      <c r="E91" s="72">
        <f t="shared" si="21"/>
        <v>0</v>
      </c>
      <c r="F91" s="32">
        <f t="shared" si="22"/>
        <v>0</v>
      </c>
      <c r="G91" s="32">
        <f t="shared" si="23"/>
        <v>0</v>
      </c>
      <c r="H91" s="32">
        <f t="shared" si="24"/>
        <v>0</v>
      </c>
      <c r="I91" s="32">
        <f t="shared" si="25"/>
        <v>0</v>
      </c>
      <c r="J91" s="32">
        <f t="shared" si="26"/>
        <v>0</v>
      </c>
      <c r="K91" s="32">
        <f t="shared" si="27"/>
        <v>0</v>
      </c>
      <c r="L91" s="32">
        <f t="shared" si="28"/>
        <v>0</v>
      </c>
      <c r="M91" s="32">
        <f t="shared" ca="1" si="29"/>
        <v>7.4214468061546803E-3</v>
      </c>
      <c r="N91" s="32">
        <f t="shared" ca="1" si="30"/>
        <v>0</v>
      </c>
      <c r="O91" s="122">
        <f t="shared" ca="1" si="31"/>
        <v>0</v>
      </c>
      <c r="P91" s="32">
        <f t="shared" ca="1" si="32"/>
        <v>0</v>
      </c>
      <c r="Q91" s="32">
        <f t="shared" ca="1" si="33"/>
        <v>0</v>
      </c>
      <c r="R91" s="16">
        <f t="shared" ca="1" si="34"/>
        <v>-7.4214468061546803E-3</v>
      </c>
    </row>
    <row r="92" spans="1:18">
      <c r="A92" s="71"/>
      <c r="B92" s="71"/>
      <c r="C92" s="71"/>
      <c r="D92" s="72">
        <f t="shared" si="20"/>
        <v>0</v>
      </c>
      <c r="E92" s="72">
        <f t="shared" si="21"/>
        <v>0</v>
      </c>
      <c r="F92" s="32">
        <f t="shared" si="22"/>
        <v>0</v>
      </c>
      <c r="G92" s="32">
        <f t="shared" si="23"/>
        <v>0</v>
      </c>
      <c r="H92" s="32">
        <f t="shared" si="24"/>
        <v>0</v>
      </c>
      <c r="I92" s="32">
        <f t="shared" si="25"/>
        <v>0</v>
      </c>
      <c r="J92" s="32">
        <f t="shared" si="26"/>
        <v>0</v>
      </c>
      <c r="K92" s="32">
        <f t="shared" si="27"/>
        <v>0</v>
      </c>
      <c r="L92" s="32">
        <f t="shared" si="28"/>
        <v>0</v>
      </c>
      <c r="M92" s="32">
        <f t="shared" ca="1" si="29"/>
        <v>7.4214468061546803E-3</v>
      </c>
      <c r="N92" s="32">
        <f t="shared" ca="1" si="30"/>
        <v>0</v>
      </c>
      <c r="O92" s="122">
        <f t="shared" ca="1" si="31"/>
        <v>0</v>
      </c>
      <c r="P92" s="32">
        <f t="shared" ca="1" si="32"/>
        <v>0</v>
      </c>
      <c r="Q92" s="32">
        <f t="shared" ca="1" si="33"/>
        <v>0</v>
      </c>
      <c r="R92" s="16">
        <f t="shared" ca="1" si="34"/>
        <v>-7.4214468061546803E-3</v>
      </c>
    </row>
    <row r="93" spans="1:18">
      <c r="A93" s="71"/>
      <c r="B93" s="71"/>
      <c r="C93" s="71"/>
      <c r="D93" s="72">
        <f t="shared" si="20"/>
        <v>0</v>
      </c>
      <c r="E93" s="72">
        <f t="shared" si="21"/>
        <v>0</v>
      </c>
      <c r="F93" s="32">
        <f t="shared" si="22"/>
        <v>0</v>
      </c>
      <c r="G93" s="32">
        <f t="shared" si="23"/>
        <v>0</v>
      </c>
      <c r="H93" s="32">
        <f t="shared" si="24"/>
        <v>0</v>
      </c>
      <c r="I93" s="32">
        <f t="shared" si="25"/>
        <v>0</v>
      </c>
      <c r="J93" s="32">
        <f t="shared" si="26"/>
        <v>0</v>
      </c>
      <c r="K93" s="32">
        <f t="shared" si="27"/>
        <v>0</v>
      </c>
      <c r="L93" s="32">
        <f t="shared" si="28"/>
        <v>0</v>
      </c>
      <c r="M93" s="32">
        <f t="shared" ca="1" si="29"/>
        <v>7.4214468061546803E-3</v>
      </c>
      <c r="N93" s="32">
        <f t="shared" ca="1" si="30"/>
        <v>0</v>
      </c>
      <c r="O93" s="122">
        <f t="shared" ca="1" si="31"/>
        <v>0</v>
      </c>
      <c r="P93" s="32">
        <f t="shared" ca="1" si="32"/>
        <v>0</v>
      </c>
      <c r="Q93" s="32">
        <f t="shared" ca="1" si="33"/>
        <v>0</v>
      </c>
      <c r="R93" s="16">
        <f t="shared" ca="1" si="34"/>
        <v>-7.4214468061546803E-3</v>
      </c>
    </row>
    <row r="94" spans="1:18">
      <c r="A94" s="71"/>
      <c r="B94" s="71"/>
      <c r="C94" s="71"/>
      <c r="D94" s="72">
        <f t="shared" si="20"/>
        <v>0</v>
      </c>
      <c r="E94" s="72">
        <f t="shared" si="21"/>
        <v>0</v>
      </c>
      <c r="F94" s="32">
        <f t="shared" si="22"/>
        <v>0</v>
      </c>
      <c r="G94" s="32">
        <f t="shared" si="23"/>
        <v>0</v>
      </c>
      <c r="H94" s="32">
        <f t="shared" si="24"/>
        <v>0</v>
      </c>
      <c r="I94" s="32">
        <f t="shared" si="25"/>
        <v>0</v>
      </c>
      <c r="J94" s="32">
        <f t="shared" si="26"/>
        <v>0</v>
      </c>
      <c r="K94" s="32">
        <f t="shared" si="27"/>
        <v>0</v>
      </c>
      <c r="L94" s="32">
        <f t="shared" si="28"/>
        <v>0</v>
      </c>
      <c r="M94" s="32">
        <f t="shared" ca="1" si="29"/>
        <v>7.4214468061546803E-3</v>
      </c>
      <c r="N94" s="32">
        <f t="shared" ca="1" si="30"/>
        <v>0</v>
      </c>
      <c r="O94" s="122">
        <f t="shared" ca="1" si="31"/>
        <v>0</v>
      </c>
      <c r="P94" s="32">
        <f t="shared" ca="1" si="32"/>
        <v>0</v>
      </c>
      <c r="Q94" s="32">
        <f t="shared" ca="1" si="33"/>
        <v>0</v>
      </c>
      <c r="R94" s="16">
        <f t="shared" ca="1" si="34"/>
        <v>-7.4214468061546803E-3</v>
      </c>
    </row>
    <row r="95" spans="1:18">
      <c r="A95" s="71"/>
      <c r="B95" s="71"/>
      <c r="C95" s="71"/>
      <c r="D95" s="72">
        <f t="shared" si="20"/>
        <v>0</v>
      </c>
      <c r="E95" s="72">
        <f t="shared" si="21"/>
        <v>0</v>
      </c>
      <c r="F95" s="32">
        <f t="shared" si="22"/>
        <v>0</v>
      </c>
      <c r="G95" s="32">
        <f t="shared" si="23"/>
        <v>0</v>
      </c>
      <c r="H95" s="32">
        <f t="shared" si="24"/>
        <v>0</v>
      </c>
      <c r="I95" s="32">
        <f t="shared" si="25"/>
        <v>0</v>
      </c>
      <c r="J95" s="32">
        <f t="shared" si="26"/>
        <v>0</v>
      </c>
      <c r="K95" s="32">
        <f t="shared" si="27"/>
        <v>0</v>
      </c>
      <c r="L95" s="32">
        <f t="shared" si="28"/>
        <v>0</v>
      </c>
      <c r="M95" s="32">
        <f t="shared" ca="1" si="29"/>
        <v>7.4214468061546803E-3</v>
      </c>
      <c r="N95" s="32">
        <f t="shared" ca="1" si="30"/>
        <v>0</v>
      </c>
      <c r="O95" s="122">
        <f t="shared" ca="1" si="31"/>
        <v>0</v>
      </c>
      <c r="P95" s="32">
        <f t="shared" ca="1" si="32"/>
        <v>0</v>
      </c>
      <c r="Q95" s="32">
        <f t="shared" ca="1" si="33"/>
        <v>0</v>
      </c>
      <c r="R95" s="16">
        <f t="shared" ca="1" si="34"/>
        <v>-7.4214468061546803E-3</v>
      </c>
    </row>
    <row r="96" spans="1:18">
      <c r="A96" s="71"/>
      <c r="B96" s="71"/>
      <c r="C96" s="71"/>
      <c r="D96" s="72">
        <f t="shared" si="20"/>
        <v>0</v>
      </c>
      <c r="E96" s="72">
        <f t="shared" si="21"/>
        <v>0</v>
      </c>
      <c r="F96" s="32">
        <f t="shared" si="22"/>
        <v>0</v>
      </c>
      <c r="G96" s="32">
        <f t="shared" si="23"/>
        <v>0</v>
      </c>
      <c r="H96" s="32">
        <f t="shared" si="24"/>
        <v>0</v>
      </c>
      <c r="I96" s="32">
        <f t="shared" si="25"/>
        <v>0</v>
      </c>
      <c r="J96" s="32">
        <f t="shared" si="26"/>
        <v>0</v>
      </c>
      <c r="K96" s="32">
        <f t="shared" si="27"/>
        <v>0</v>
      </c>
      <c r="L96" s="32">
        <f t="shared" si="28"/>
        <v>0</v>
      </c>
      <c r="M96" s="32">
        <f t="shared" ca="1" si="29"/>
        <v>7.4214468061546803E-3</v>
      </c>
      <c r="N96" s="32">
        <f t="shared" ca="1" si="30"/>
        <v>0</v>
      </c>
      <c r="O96" s="122">
        <f t="shared" ca="1" si="31"/>
        <v>0</v>
      </c>
      <c r="P96" s="32">
        <f t="shared" ca="1" si="32"/>
        <v>0</v>
      </c>
      <c r="Q96" s="32">
        <f t="shared" ca="1" si="33"/>
        <v>0</v>
      </c>
      <c r="R96" s="16">
        <f t="shared" ca="1" si="34"/>
        <v>-7.4214468061546803E-3</v>
      </c>
    </row>
    <row r="97" spans="1:18">
      <c r="A97" s="71"/>
      <c r="B97" s="71"/>
      <c r="C97" s="71"/>
      <c r="D97" s="72">
        <f t="shared" si="20"/>
        <v>0</v>
      </c>
      <c r="E97" s="72">
        <f t="shared" si="21"/>
        <v>0</v>
      </c>
      <c r="F97" s="32">
        <f t="shared" si="22"/>
        <v>0</v>
      </c>
      <c r="G97" s="32">
        <f t="shared" si="23"/>
        <v>0</v>
      </c>
      <c r="H97" s="32">
        <f t="shared" si="24"/>
        <v>0</v>
      </c>
      <c r="I97" s="32">
        <f t="shared" si="25"/>
        <v>0</v>
      </c>
      <c r="J97" s="32">
        <f t="shared" si="26"/>
        <v>0</v>
      </c>
      <c r="K97" s="32">
        <f t="shared" si="27"/>
        <v>0</v>
      </c>
      <c r="L97" s="32">
        <f t="shared" si="28"/>
        <v>0</v>
      </c>
      <c r="M97" s="32">
        <f t="shared" ca="1" si="29"/>
        <v>7.4214468061546803E-3</v>
      </c>
      <c r="N97" s="32">
        <f t="shared" ca="1" si="30"/>
        <v>0</v>
      </c>
      <c r="O97" s="122">
        <f t="shared" ca="1" si="31"/>
        <v>0</v>
      </c>
      <c r="P97" s="32">
        <f t="shared" ca="1" si="32"/>
        <v>0</v>
      </c>
      <c r="Q97" s="32">
        <f t="shared" ca="1" si="33"/>
        <v>0</v>
      </c>
      <c r="R97" s="16">
        <f t="shared" ca="1" si="34"/>
        <v>-7.4214468061546803E-3</v>
      </c>
    </row>
    <row r="98" spans="1:18">
      <c r="A98" s="71"/>
      <c r="B98" s="71"/>
      <c r="C98" s="71"/>
      <c r="D98" s="72">
        <f t="shared" si="20"/>
        <v>0</v>
      </c>
      <c r="E98" s="72">
        <f t="shared" si="21"/>
        <v>0</v>
      </c>
      <c r="F98" s="32">
        <f t="shared" si="22"/>
        <v>0</v>
      </c>
      <c r="G98" s="32">
        <f t="shared" si="23"/>
        <v>0</v>
      </c>
      <c r="H98" s="32">
        <f t="shared" si="24"/>
        <v>0</v>
      </c>
      <c r="I98" s="32">
        <f t="shared" si="25"/>
        <v>0</v>
      </c>
      <c r="J98" s="32">
        <f t="shared" si="26"/>
        <v>0</v>
      </c>
      <c r="K98" s="32">
        <f t="shared" si="27"/>
        <v>0</v>
      </c>
      <c r="L98" s="32">
        <f t="shared" si="28"/>
        <v>0</v>
      </c>
      <c r="M98" s="32">
        <f t="shared" ca="1" si="29"/>
        <v>7.4214468061546803E-3</v>
      </c>
      <c r="N98" s="32">
        <f t="shared" ca="1" si="30"/>
        <v>0</v>
      </c>
      <c r="O98" s="122">
        <f t="shared" ca="1" si="31"/>
        <v>0</v>
      </c>
      <c r="P98" s="32">
        <f t="shared" ca="1" si="32"/>
        <v>0</v>
      </c>
      <c r="Q98" s="32">
        <f t="shared" ca="1" si="33"/>
        <v>0</v>
      </c>
      <c r="R98" s="16">
        <f t="shared" ca="1" si="34"/>
        <v>-7.4214468061546803E-3</v>
      </c>
    </row>
    <row r="99" spans="1:18">
      <c r="A99" s="71"/>
      <c r="B99" s="71"/>
      <c r="C99" s="71"/>
      <c r="D99" s="72">
        <f t="shared" si="20"/>
        <v>0</v>
      </c>
      <c r="E99" s="72">
        <f t="shared" si="21"/>
        <v>0</v>
      </c>
      <c r="F99" s="32">
        <f t="shared" si="22"/>
        <v>0</v>
      </c>
      <c r="G99" s="32">
        <f t="shared" si="23"/>
        <v>0</v>
      </c>
      <c r="H99" s="32">
        <f t="shared" si="24"/>
        <v>0</v>
      </c>
      <c r="I99" s="32">
        <f t="shared" si="25"/>
        <v>0</v>
      </c>
      <c r="J99" s="32">
        <f t="shared" si="26"/>
        <v>0</v>
      </c>
      <c r="K99" s="32">
        <f t="shared" si="27"/>
        <v>0</v>
      </c>
      <c r="L99" s="32">
        <f t="shared" si="28"/>
        <v>0</v>
      </c>
      <c r="M99" s="32">
        <f t="shared" ca="1" si="29"/>
        <v>7.4214468061546803E-3</v>
      </c>
      <c r="N99" s="32">
        <f t="shared" ca="1" si="30"/>
        <v>0</v>
      </c>
      <c r="O99" s="122">
        <f t="shared" ca="1" si="31"/>
        <v>0</v>
      </c>
      <c r="P99" s="32">
        <f t="shared" ca="1" si="32"/>
        <v>0</v>
      </c>
      <c r="Q99" s="32">
        <f t="shared" ca="1" si="33"/>
        <v>0</v>
      </c>
      <c r="R99" s="16">
        <f t="shared" ca="1" si="34"/>
        <v>-7.4214468061546803E-3</v>
      </c>
    </row>
    <row r="100" spans="1:18">
      <c r="A100" s="71"/>
      <c r="B100" s="71"/>
      <c r="C100" s="71"/>
      <c r="D100" s="72">
        <f t="shared" si="20"/>
        <v>0</v>
      </c>
      <c r="E100" s="72">
        <f t="shared" si="21"/>
        <v>0</v>
      </c>
      <c r="F100" s="32">
        <f t="shared" si="22"/>
        <v>0</v>
      </c>
      <c r="G100" s="32">
        <f t="shared" si="23"/>
        <v>0</v>
      </c>
      <c r="H100" s="32">
        <f t="shared" si="24"/>
        <v>0</v>
      </c>
      <c r="I100" s="32">
        <f t="shared" si="25"/>
        <v>0</v>
      </c>
      <c r="J100" s="32">
        <f t="shared" si="26"/>
        <v>0</v>
      </c>
      <c r="K100" s="32">
        <f t="shared" si="27"/>
        <v>0</v>
      </c>
      <c r="L100" s="32">
        <f t="shared" si="28"/>
        <v>0</v>
      </c>
      <c r="M100" s="32">
        <f t="shared" ca="1" si="29"/>
        <v>7.4214468061546803E-3</v>
      </c>
      <c r="N100" s="32">
        <f t="shared" ca="1" si="30"/>
        <v>0</v>
      </c>
      <c r="O100" s="122">
        <f t="shared" ca="1" si="31"/>
        <v>0</v>
      </c>
      <c r="P100" s="32">
        <f t="shared" ca="1" si="32"/>
        <v>0</v>
      </c>
      <c r="Q100" s="32">
        <f t="shared" ca="1" si="33"/>
        <v>0</v>
      </c>
      <c r="R100" s="16">
        <f t="shared" ca="1" si="34"/>
        <v>-7.4214468061546803E-3</v>
      </c>
    </row>
    <row r="101" spans="1:18">
      <c r="A101" s="71"/>
      <c r="B101" s="71"/>
      <c r="C101" s="71"/>
      <c r="D101" s="72">
        <f t="shared" si="20"/>
        <v>0</v>
      </c>
      <c r="E101" s="72">
        <f t="shared" si="21"/>
        <v>0</v>
      </c>
      <c r="F101" s="32">
        <f t="shared" si="22"/>
        <v>0</v>
      </c>
      <c r="G101" s="32">
        <f t="shared" si="23"/>
        <v>0</v>
      </c>
      <c r="H101" s="32">
        <f t="shared" si="24"/>
        <v>0</v>
      </c>
      <c r="I101" s="32">
        <f t="shared" si="25"/>
        <v>0</v>
      </c>
      <c r="J101" s="32">
        <f t="shared" si="26"/>
        <v>0</v>
      </c>
      <c r="K101" s="32">
        <f t="shared" si="27"/>
        <v>0</v>
      </c>
      <c r="L101" s="32">
        <f t="shared" si="28"/>
        <v>0</v>
      </c>
      <c r="M101" s="32">
        <f t="shared" ca="1" si="29"/>
        <v>7.4214468061546803E-3</v>
      </c>
      <c r="N101" s="32">
        <f t="shared" ca="1" si="30"/>
        <v>0</v>
      </c>
      <c r="O101" s="122">
        <f t="shared" ca="1" si="31"/>
        <v>0</v>
      </c>
      <c r="P101" s="32">
        <f t="shared" ca="1" si="32"/>
        <v>0</v>
      </c>
      <c r="Q101" s="32">
        <f t="shared" ca="1" si="33"/>
        <v>0</v>
      </c>
      <c r="R101" s="16">
        <f t="shared" ca="1" si="34"/>
        <v>-7.4214468061546803E-3</v>
      </c>
    </row>
    <row r="102" spans="1:18">
      <c r="A102" s="71"/>
      <c r="B102" s="71"/>
      <c r="C102" s="71"/>
      <c r="D102" s="72">
        <f t="shared" si="20"/>
        <v>0</v>
      </c>
      <c r="E102" s="72">
        <f t="shared" si="21"/>
        <v>0</v>
      </c>
      <c r="F102" s="32">
        <f t="shared" si="22"/>
        <v>0</v>
      </c>
      <c r="G102" s="32">
        <f t="shared" si="23"/>
        <v>0</v>
      </c>
      <c r="H102" s="32">
        <f t="shared" si="24"/>
        <v>0</v>
      </c>
      <c r="I102" s="32">
        <f t="shared" si="25"/>
        <v>0</v>
      </c>
      <c r="J102" s="32">
        <f t="shared" si="26"/>
        <v>0</v>
      </c>
      <c r="K102" s="32">
        <f t="shared" si="27"/>
        <v>0</v>
      </c>
      <c r="L102" s="32">
        <f t="shared" si="28"/>
        <v>0</v>
      </c>
      <c r="M102" s="32">
        <f t="shared" ca="1" si="29"/>
        <v>7.4214468061546803E-3</v>
      </c>
      <c r="N102" s="32">
        <f t="shared" ca="1" si="30"/>
        <v>0</v>
      </c>
      <c r="O102" s="122">
        <f t="shared" ca="1" si="31"/>
        <v>0</v>
      </c>
      <c r="P102" s="32">
        <f t="shared" ca="1" si="32"/>
        <v>0</v>
      </c>
      <c r="Q102" s="32">
        <f t="shared" ca="1" si="33"/>
        <v>0</v>
      </c>
      <c r="R102" s="16">
        <f t="shared" ca="1" si="34"/>
        <v>-7.4214468061546803E-3</v>
      </c>
    </row>
    <row r="103" spans="1:18">
      <c r="A103" s="71"/>
      <c r="B103" s="71"/>
      <c r="C103" s="71"/>
      <c r="D103" s="72">
        <f t="shared" si="20"/>
        <v>0</v>
      </c>
      <c r="E103" s="72">
        <f t="shared" si="21"/>
        <v>0</v>
      </c>
      <c r="F103" s="32">
        <f t="shared" si="22"/>
        <v>0</v>
      </c>
      <c r="G103" s="32">
        <f t="shared" si="23"/>
        <v>0</v>
      </c>
      <c r="H103" s="32">
        <f t="shared" si="24"/>
        <v>0</v>
      </c>
      <c r="I103" s="32">
        <f t="shared" si="25"/>
        <v>0</v>
      </c>
      <c r="J103" s="32">
        <f t="shared" si="26"/>
        <v>0</v>
      </c>
      <c r="K103" s="32">
        <f t="shared" si="27"/>
        <v>0</v>
      </c>
      <c r="L103" s="32">
        <f t="shared" si="28"/>
        <v>0</v>
      </c>
      <c r="M103" s="32">
        <f t="shared" ca="1" si="29"/>
        <v>7.4214468061546803E-3</v>
      </c>
      <c r="N103" s="32">
        <f t="shared" ca="1" si="30"/>
        <v>0</v>
      </c>
      <c r="O103" s="122">
        <f t="shared" ca="1" si="31"/>
        <v>0</v>
      </c>
      <c r="P103" s="32">
        <f t="shared" ca="1" si="32"/>
        <v>0</v>
      </c>
      <c r="Q103" s="32">
        <f t="shared" ca="1" si="33"/>
        <v>0</v>
      </c>
      <c r="R103" s="16">
        <f t="shared" ca="1" si="34"/>
        <v>-7.4214468061546803E-3</v>
      </c>
    </row>
    <row r="104" spans="1:18">
      <c r="A104" s="71"/>
      <c r="B104" s="71"/>
      <c r="C104" s="71"/>
      <c r="D104" s="72">
        <f t="shared" si="20"/>
        <v>0</v>
      </c>
      <c r="E104" s="72">
        <f t="shared" si="21"/>
        <v>0</v>
      </c>
      <c r="F104" s="32">
        <f t="shared" si="22"/>
        <v>0</v>
      </c>
      <c r="G104" s="32">
        <f t="shared" si="23"/>
        <v>0</v>
      </c>
      <c r="H104" s="32">
        <f t="shared" si="24"/>
        <v>0</v>
      </c>
      <c r="I104" s="32">
        <f t="shared" si="25"/>
        <v>0</v>
      </c>
      <c r="J104" s="32">
        <f t="shared" si="26"/>
        <v>0</v>
      </c>
      <c r="K104" s="32">
        <f t="shared" si="27"/>
        <v>0</v>
      </c>
      <c r="L104" s="32">
        <f t="shared" si="28"/>
        <v>0</v>
      </c>
      <c r="M104" s="32">
        <f t="shared" ca="1" si="29"/>
        <v>7.4214468061546803E-3</v>
      </c>
      <c r="N104" s="32">
        <f t="shared" ca="1" si="30"/>
        <v>0</v>
      </c>
      <c r="O104" s="122">
        <f t="shared" ca="1" si="31"/>
        <v>0</v>
      </c>
      <c r="P104" s="32">
        <f t="shared" ca="1" si="32"/>
        <v>0</v>
      </c>
      <c r="Q104" s="32">
        <f t="shared" ca="1" si="33"/>
        <v>0</v>
      </c>
      <c r="R104" s="16">
        <f t="shared" ca="1" si="34"/>
        <v>-7.4214468061546803E-3</v>
      </c>
    </row>
    <row r="105" spans="1:18">
      <c r="A105" s="71"/>
      <c r="B105" s="71"/>
      <c r="C105" s="71"/>
      <c r="D105" s="72">
        <f t="shared" si="20"/>
        <v>0</v>
      </c>
      <c r="E105" s="72">
        <f t="shared" si="21"/>
        <v>0</v>
      </c>
      <c r="F105" s="32">
        <f t="shared" si="22"/>
        <v>0</v>
      </c>
      <c r="G105" s="32">
        <f t="shared" si="23"/>
        <v>0</v>
      </c>
      <c r="H105" s="32">
        <f t="shared" si="24"/>
        <v>0</v>
      </c>
      <c r="I105" s="32">
        <f t="shared" si="25"/>
        <v>0</v>
      </c>
      <c r="J105" s="32">
        <f t="shared" si="26"/>
        <v>0</v>
      </c>
      <c r="K105" s="32">
        <f t="shared" si="27"/>
        <v>0</v>
      </c>
      <c r="L105" s="32">
        <f t="shared" si="28"/>
        <v>0</v>
      </c>
      <c r="M105" s="32">
        <f t="shared" ca="1" si="29"/>
        <v>7.4214468061546803E-3</v>
      </c>
      <c r="N105" s="32">
        <f t="shared" ca="1" si="30"/>
        <v>0</v>
      </c>
      <c r="O105" s="122">
        <f t="shared" ca="1" si="31"/>
        <v>0</v>
      </c>
      <c r="P105" s="32">
        <f t="shared" ca="1" si="32"/>
        <v>0</v>
      </c>
      <c r="Q105" s="32">
        <f t="shared" ca="1" si="33"/>
        <v>0</v>
      </c>
      <c r="R105" s="16">
        <f t="shared" ca="1" si="34"/>
        <v>-7.4214468061546803E-3</v>
      </c>
    </row>
    <row r="106" spans="1:18">
      <c r="A106" s="71"/>
      <c r="B106" s="71"/>
      <c r="C106" s="71"/>
      <c r="D106" s="72">
        <f t="shared" si="20"/>
        <v>0</v>
      </c>
      <c r="E106" s="72">
        <f t="shared" si="21"/>
        <v>0</v>
      </c>
      <c r="F106" s="32">
        <f t="shared" si="22"/>
        <v>0</v>
      </c>
      <c r="G106" s="32">
        <f t="shared" si="23"/>
        <v>0</v>
      </c>
      <c r="H106" s="32">
        <f t="shared" si="24"/>
        <v>0</v>
      </c>
      <c r="I106" s="32">
        <f t="shared" si="25"/>
        <v>0</v>
      </c>
      <c r="J106" s="32">
        <f t="shared" si="26"/>
        <v>0</v>
      </c>
      <c r="K106" s="32">
        <f t="shared" si="27"/>
        <v>0</v>
      </c>
      <c r="L106" s="32">
        <f t="shared" si="28"/>
        <v>0</v>
      </c>
      <c r="M106" s="32">
        <f t="shared" ca="1" si="29"/>
        <v>7.4214468061546803E-3</v>
      </c>
      <c r="N106" s="32">
        <f t="shared" ca="1" si="30"/>
        <v>0</v>
      </c>
      <c r="O106" s="122">
        <f t="shared" ca="1" si="31"/>
        <v>0</v>
      </c>
      <c r="P106" s="32">
        <f t="shared" ca="1" si="32"/>
        <v>0</v>
      </c>
      <c r="Q106" s="32">
        <f t="shared" ca="1" si="33"/>
        <v>0</v>
      </c>
      <c r="R106" s="16">
        <f t="shared" ca="1" si="34"/>
        <v>-7.4214468061546803E-3</v>
      </c>
    </row>
    <row r="107" spans="1:18">
      <c r="A107" s="71"/>
      <c r="B107" s="71"/>
      <c r="C107" s="71"/>
      <c r="D107" s="72">
        <f t="shared" si="20"/>
        <v>0</v>
      </c>
      <c r="E107" s="72">
        <f t="shared" si="21"/>
        <v>0</v>
      </c>
      <c r="F107" s="32">
        <f t="shared" si="22"/>
        <v>0</v>
      </c>
      <c r="G107" s="32">
        <f t="shared" si="23"/>
        <v>0</v>
      </c>
      <c r="H107" s="32">
        <f t="shared" si="24"/>
        <v>0</v>
      </c>
      <c r="I107" s="32">
        <f t="shared" si="25"/>
        <v>0</v>
      </c>
      <c r="J107" s="32">
        <f t="shared" si="26"/>
        <v>0</v>
      </c>
      <c r="K107" s="32">
        <f t="shared" si="27"/>
        <v>0</v>
      </c>
      <c r="L107" s="32">
        <f t="shared" si="28"/>
        <v>0</v>
      </c>
      <c r="M107" s="32">
        <f t="shared" ca="1" si="29"/>
        <v>7.4214468061546803E-3</v>
      </c>
      <c r="N107" s="32">
        <f t="shared" ca="1" si="30"/>
        <v>0</v>
      </c>
      <c r="O107" s="122">
        <f t="shared" ca="1" si="31"/>
        <v>0</v>
      </c>
      <c r="P107" s="32">
        <f t="shared" ca="1" si="32"/>
        <v>0</v>
      </c>
      <c r="Q107" s="32">
        <f t="shared" ca="1" si="33"/>
        <v>0</v>
      </c>
      <c r="R107" s="16">
        <f t="shared" ca="1" si="34"/>
        <v>-7.4214468061546803E-3</v>
      </c>
    </row>
    <row r="108" spans="1:18">
      <c r="A108" s="71"/>
      <c r="B108" s="71"/>
      <c r="C108" s="71"/>
      <c r="D108" s="72">
        <f t="shared" si="20"/>
        <v>0</v>
      </c>
      <c r="E108" s="72">
        <f t="shared" si="21"/>
        <v>0</v>
      </c>
      <c r="F108" s="32">
        <f t="shared" si="22"/>
        <v>0</v>
      </c>
      <c r="G108" s="32">
        <f t="shared" si="23"/>
        <v>0</v>
      </c>
      <c r="H108" s="32">
        <f t="shared" si="24"/>
        <v>0</v>
      </c>
      <c r="I108" s="32">
        <f t="shared" si="25"/>
        <v>0</v>
      </c>
      <c r="J108" s="32">
        <f t="shared" si="26"/>
        <v>0</v>
      </c>
      <c r="K108" s="32">
        <f t="shared" si="27"/>
        <v>0</v>
      </c>
      <c r="L108" s="32">
        <f t="shared" si="28"/>
        <v>0</v>
      </c>
      <c r="M108" s="32">
        <f t="shared" ca="1" si="29"/>
        <v>7.4214468061546803E-3</v>
      </c>
      <c r="N108" s="32">
        <f t="shared" ca="1" si="30"/>
        <v>0</v>
      </c>
      <c r="O108" s="122">
        <f t="shared" ca="1" si="31"/>
        <v>0</v>
      </c>
      <c r="P108" s="32">
        <f t="shared" ca="1" si="32"/>
        <v>0</v>
      </c>
      <c r="Q108" s="32">
        <f t="shared" ca="1" si="33"/>
        <v>0</v>
      </c>
      <c r="R108" s="16">
        <f t="shared" ca="1" si="34"/>
        <v>-7.4214468061546803E-3</v>
      </c>
    </row>
    <row r="109" spans="1:18">
      <c r="A109" s="71"/>
      <c r="B109" s="71"/>
      <c r="C109" s="71"/>
      <c r="D109" s="72">
        <f t="shared" si="20"/>
        <v>0</v>
      </c>
      <c r="E109" s="72">
        <f t="shared" si="21"/>
        <v>0</v>
      </c>
      <c r="F109" s="32">
        <f t="shared" si="22"/>
        <v>0</v>
      </c>
      <c r="G109" s="32">
        <f t="shared" si="23"/>
        <v>0</v>
      </c>
      <c r="H109" s="32">
        <f t="shared" si="24"/>
        <v>0</v>
      </c>
      <c r="I109" s="32">
        <f t="shared" si="25"/>
        <v>0</v>
      </c>
      <c r="J109" s="32">
        <f t="shared" si="26"/>
        <v>0</v>
      </c>
      <c r="K109" s="32">
        <f t="shared" si="27"/>
        <v>0</v>
      </c>
      <c r="L109" s="32">
        <f t="shared" si="28"/>
        <v>0</v>
      </c>
      <c r="M109" s="32">
        <f t="shared" ca="1" si="29"/>
        <v>7.4214468061546803E-3</v>
      </c>
      <c r="N109" s="32">
        <f t="shared" ca="1" si="30"/>
        <v>0</v>
      </c>
      <c r="O109" s="122">
        <f t="shared" ca="1" si="31"/>
        <v>0</v>
      </c>
      <c r="P109" s="32">
        <f t="shared" ca="1" si="32"/>
        <v>0</v>
      </c>
      <c r="Q109" s="32">
        <f t="shared" ca="1" si="33"/>
        <v>0</v>
      </c>
      <c r="R109" s="16">
        <f t="shared" ca="1" si="34"/>
        <v>-7.4214468061546803E-3</v>
      </c>
    </row>
    <row r="110" spans="1:18">
      <c r="A110" s="71"/>
      <c r="B110" s="71"/>
      <c r="C110" s="71"/>
      <c r="D110" s="72">
        <f t="shared" si="20"/>
        <v>0</v>
      </c>
      <c r="E110" s="72">
        <f t="shared" si="21"/>
        <v>0</v>
      </c>
      <c r="F110" s="32">
        <f t="shared" si="22"/>
        <v>0</v>
      </c>
      <c r="G110" s="32">
        <f t="shared" si="23"/>
        <v>0</v>
      </c>
      <c r="H110" s="32">
        <f t="shared" si="24"/>
        <v>0</v>
      </c>
      <c r="I110" s="32">
        <f t="shared" si="25"/>
        <v>0</v>
      </c>
      <c r="J110" s="32">
        <f t="shared" si="26"/>
        <v>0</v>
      </c>
      <c r="K110" s="32">
        <f t="shared" si="27"/>
        <v>0</v>
      </c>
      <c r="L110" s="32">
        <f t="shared" si="28"/>
        <v>0</v>
      </c>
      <c r="M110" s="32">
        <f t="shared" ca="1" si="29"/>
        <v>7.4214468061546803E-3</v>
      </c>
      <c r="N110" s="32">
        <f t="shared" ca="1" si="30"/>
        <v>0</v>
      </c>
      <c r="O110" s="122">
        <f t="shared" ca="1" si="31"/>
        <v>0</v>
      </c>
      <c r="P110" s="32">
        <f t="shared" ca="1" si="32"/>
        <v>0</v>
      </c>
      <c r="Q110" s="32">
        <f t="shared" ca="1" si="33"/>
        <v>0</v>
      </c>
      <c r="R110" s="16">
        <f t="shared" ca="1" si="34"/>
        <v>-7.4214468061546803E-3</v>
      </c>
    </row>
    <row r="111" spans="1:18">
      <c r="A111" s="71"/>
      <c r="B111" s="71"/>
      <c r="C111" s="71"/>
      <c r="D111" s="72">
        <f t="shared" si="20"/>
        <v>0</v>
      </c>
      <c r="E111" s="72">
        <f t="shared" si="21"/>
        <v>0</v>
      </c>
      <c r="F111" s="32">
        <f t="shared" si="22"/>
        <v>0</v>
      </c>
      <c r="G111" s="32">
        <f t="shared" si="23"/>
        <v>0</v>
      </c>
      <c r="H111" s="32">
        <f t="shared" si="24"/>
        <v>0</v>
      </c>
      <c r="I111" s="32">
        <f t="shared" si="25"/>
        <v>0</v>
      </c>
      <c r="J111" s="32">
        <f t="shared" si="26"/>
        <v>0</v>
      </c>
      <c r="K111" s="32">
        <f t="shared" si="27"/>
        <v>0</v>
      </c>
      <c r="L111" s="32">
        <f t="shared" si="28"/>
        <v>0</v>
      </c>
      <c r="M111" s="32">
        <f t="shared" ca="1" si="29"/>
        <v>7.4214468061546803E-3</v>
      </c>
      <c r="N111" s="32">
        <f t="shared" ca="1" si="30"/>
        <v>0</v>
      </c>
      <c r="O111" s="122">
        <f t="shared" ca="1" si="31"/>
        <v>0</v>
      </c>
      <c r="P111" s="32">
        <f t="shared" ca="1" si="32"/>
        <v>0</v>
      </c>
      <c r="Q111" s="32">
        <f t="shared" ca="1" si="33"/>
        <v>0</v>
      </c>
      <c r="R111" s="16">
        <f t="shared" ca="1" si="34"/>
        <v>-7.4214468061546803E-3</v>
      </c>
    </row>
    <row r="112" spans="1:18">
      <c r="A112" s="71"/>
      <c r="B112" s="71"/>
      <c r="C112" s="71"/>
      <c r="D112" s="72">
        <f t="shared" si="20"/>
        <v>0</v>
      </c>
      <c r="E112" s="72">
        <f t="shared" si="21"/>
        <v>0</v>
      </c>
      <c r="F112" s="32">
        <f t="shared" si="22"/>
        <v>0</v>
      </c>
      <c r="G112" s="32">
        <f t="shared" si="23"/>
        <v>0</v>
      </c>
      <c r="H112" s="32">
        <f t="shared" si="24"/>
        <v>0</v>
      </c>
      <c r="I112" s="32">
        <f t="shared" si="25"/>
        <v>0</v>
      </c>
      <c r="J112" s="32">
        <f t="shared" si="26"/>
        <v>0</v>
      </c>
      <c r="K112" s="32">
        <f t="shared" si="27"/>
        <v>0</v>
      </c>
      <c r="L112" s="32">
        <f t="shared" si="28"/>
        <v>0</v>
      </c>
      <c r="M112" s="32">
        <f t="shared" ca="1" si="29"/>
        <v>7.4214468061546803E-3</v>
      </c>
      <c r="N112" s="32">
        <f t="shared" ca="1" si="30"/>
        <v>0</v>
      </c>
      <c r="O112" s="122">
        <f t="shared" ca="1" si="31"/>
        <v>0</v>
      </c>
      <c r="P112" s="32">
        <f t="shared" ca="1" si="32"/>
        <v>0</v>
      </c>
      <c r="Q112" s="32">
        <f t="shared" ca="1" si="33"/>
        <v>0</v>
      </c>
      <c r="R112" s="16">
        <f t="shared" ca="1" si="34"/>
        <v>-7.4214468061546803E-3</v>
      </c>
    </row>
    <row r="113" spans="1:18">
      <c r="A113" s="71"/>
      <c r="B113" s="71"/>
      <c r="C113" s="71"/>
      <c r="D113" s="72">
        <f t="shared" si="20"/>
        <v>0</v>
      </c>
      <c r="E113" s="72">
        <f t="shared" si="21"/>
        <v>0</v>
      </c>
      <c r="F113" s="32">
        <f t="shared" si="22"/>
        <v>0</v>
      </c>
      <c r="G113" s="32">
        <f t="shared" si="23"/>
        <v>0</v>
      </c>
      <c r="H113" s="32">
        <f t="shared" si="24"/>
        <v>0</v>
      </c>
      <c r="I113" s="32">
        <f t="shared" si="25"/>
        <v>0</v>
      </c>
      <c r="J113" s="32">
        <f t="shared" si="26"/>
        <v>0</v>
      </c>
      <c r="K113" s="32">
        <f t="shared" si="27"/>
        <v>0</v>
      </c>
      <c r="L113" s="32">
        <f t="shared" si="28"/>
        <v>0</v>
      </c>
      <c r="M113" s="32">
        <f t="shared" ca="1" si="29"/>
        <v>7.4214468061546803E-3</v>
      </c>
      <c r="N113" s="32">
        <f t="shared" ca="1" si="30"/>
        <v>0</v>
      </c>
      <c r="O113" s="122">
        <f t="shared" ca="1" si="31"/>
        <v>0</v>
      </c>
      <c r="P113" s="32">
        <f t="shared" ca="1" si="32"/>
        <v>0</v>
      </c>
      <c r="Q113" s="32">
        <f t="shared" ca="1" si="33"/>
        <v>0</v>
      </c>
      <c r="R113" s="16">
        <f t="shared" ca="1" si="34"/>
        <v>-7.4214468061546803E-3</v>
      </c>
    </row>
    <row r="114" spans="1:18">
      <c r="A114" s="71"/>
      <c r="B114" s="71"/>
      <c r="C114" s="71"/>
      <c r="D114" s="72">
        <f t="shared" si="20"/>
        <v>0</v>
      </c>
      <c r="E114" s="72">
        <f t="shared" si="21"/>
        <v>0</v>
      </c>
      <c r="F114" s="32">
        <f t="shared" si="22"/>
        <v>0</v>
      </c>
      <c r="G114" s="32">
        <f t="shared" si="23"/>
        <v>0</v>
      </c>
      <c r="H114" s="32">
        <f t="shared" si="24"/>
        <v>0</v>
      </c>
      <c r="I114" s="32">
        <f t="shared" si="25"/>
        <v>0</v>
      </c>
      <c r="J114" s="32">
        <f t="shared" si="26"/>
        <v>0</v>
      </c>
      <c r="K114" s="32">
        <f t="shared" si="27"/>
        <v>0</v>
      </c>
      <c r="L114" s="32">
        <f t="shared" si="28"/>
        <v>0</v>
      </c>
      <c r="M114" s="32">
        <f t="shared" ca="1" si="29"/>
        <v>7.4214468061546803E-3</v>
      </c>
      <c r="N114" s="32">
        <f t="shared" ca="1" si="30"/>
        <v>0</v>
      </c>
      <c r="O114" s="122">
        <f t="shared" ca="1" si="31"/>
        <v>0</v>
      </c>
      <c r="P114" s="32">
        <f t="shared" ca="1" si="32"/>
        <v>0</v>
      </c>
      <c r="Q114" s="32">
        <f t="shared" ca="1" si="33"/>
        <v>0</v>
      </c>
      <c r="R114" s="16">
        <f t="shared" ca="1" si="34"/>
        <v>-7.4214468061546803E-3</v>
      </c>
    </row>
    <row r="115" spans="1:18">
      <c r="A115" s="71"/>
      <c r="B115" s="71"/>
      <c r="C115" s="71"/>
      <c r="D115" s="72">
        <f t="shared" si="20"/>
        <v>0</v>
      </c>
      <c r="E115" s="72">
        <f t="shared" si="21"/>
        <v>0</v>
      </c>
      <c r="F115" s="32">
        <f t="shared" si="22"/>
        <v>0</v>
      </c>
      <c r="G115" s="32">
        <f t="shared" si="23"/>
        <v>0</v>
      </c>
      <c r="H115" s="32">
        <f t="shared" si="24"/>
        <v>0</v>
      </c>
      <c r="I115" s="32">
        <f t="shared" si="25"/>
        <v>0</v>
      </c>
      <c r="J115" s="32">
        <f t="shared" si="26"/>
        <v>0</v>
      </c>
      <c r="K115" s="32">
        <f t="shared" si="27"/>
        <v>0</v>
      </c>
      <c r="L115" s="32">
        <f t="shared" si="28"/>
        <v>0</v>
      </c>
      <c r="M115" s="32">
        <f t="shared" ca="1" si="29"/>
        <v>7.4214468061546803E-3</v>
      </c>
      <c r="N115" s="32">
        <f t="shared" ca="1" si="30"/>
        <v>0</v>
      </c>
      <c r="O115" s="122">
        <f t="shared" ca="1" si="31"/>
        <v>0</v>
      </c>
      <c r="P115" s="32">
        <f t="shared" ca="1" si="32"/>
        <v>0</v>
      </c>
      <c r="Q115" s="32">
        <f t="shared" ca="1" si="33"/>
        <v>0</v>
      </c>
      <c r="R115" s="16">
        <f t="shared" ca="1" si="34"/>
        <v>-7.4214468061546803E-3</v>
      </c>
    </row>
    <row r="116" spans="1:18">
      <c r="A116" s="71"/>
      <c r="B116" s="71"/>
      <c r="C116" s="71"/>
      <c r="D116" s="72">
        <f t="shared" si="20"/>
        <v>0</v>
      </c>
      <c r="E116" s="72">
        <f t="shared" si="21"/>
        <v>0</v>
      </c>
      <c r="F116" s="32">
        <f t="shared" si="22"/>
        <v>0</v>
      </c>
      <c r="G116" s="32">
        <f t="shared" si="23"/>
        <v>0</v>
      </c>
      <c r="H116" s="32">
        <f t="shared" si="24"/>
        <v>0</v>
      </c>
      <c r="I116" s="32">
        <f t="shared" si="25"/>
        <v>0</v>
      </c>
      <c r="J116" s="32">
        <f t="shared" si="26"/>
        <v>0</v>
      </c>
      <c r="K116" s="32">
        <f t="shared" si="27"/>
        <v>0</v>
      </c>
      <c r="L116" s="32">
        <f t="shared" si="28"/>
        <v>0</v>
      </c>
      <c r="M116" s="32">
        <f t="shared" ca="1" si="29"/>
        <v>7.4214468061546803E-3</v>
      </c>
      <c r="N116" s="32">
        <f t="shared" ca="1" si="30"/>
        <v>0</v>
      </c>
      <c r="O116" s="122">
        <f t="shared" ca="1" si="31"/>
        <v>0</v>
      </c>
      <c r="P116" s="32">
        <f t="shared" ca="1" si="32"/>
        <v>0</v>
      </c>
      <c r="Q116" s="32">
        <f t="shared" ca="1" si="33"/>
        <v>0</v>
      </c>
      <c r="R116" s="16">
        <f t="shared" ca="1" si="34"/>
        <v>-7.4214468061546803E-3</v>
      </c>
    </row>
    <row r="117" spans="1:18">
      <c r="A117" s="71"/>
      <c r="B117" s="71"/>
      <c r="C117" s="71"/>
      <c r="D117" s="72">
        <f t="shared" si="20"/>
        <v>0</v>
      </c>
      <c r="E117" s="72">
        <f t="shared" si="21"/>
        <v>0</v>
      </c>
      <c r="F117" s="32">
        <f t="shared" si="22"/>
        <v>0</v>
      </c>
      <c r="G117" s="32">
        <f t="shared" si="23"/>
        <v>0</v>
      </c>
      <c r="H117" s="32">
        <f t="shared" si="24"/>
        <v>0</v>
      </c>
      <c r="I117" s="32">
        <f t="shared" si="25"/>
        <v>0</v>
      </c>
      <c r="J117" s="32">
        <f t="shared" si="26"/>
        <v>0</v>
      </c>
      <c r="K117" s="32">
        <f t="shared" si="27"/>
        <v>0</v>
      </c>
      <c r="L117" s="32">
        <f t="shared" si="28"/>
        <v>0</v>
      </c>
      <c r="M117" s="32">
        <f t="shared" ca="1" si="29"/>
        <v>7.4214468061546803E-3</v>
      </c>
      <c r="N117" s="32">
        <f t="shared" ca="1" si="30"/>
        <v>0</v>
      </c>
      <c r="O117" s="122">
        <f t="shared" ca="1" si="31"/>
        <v>0</v>
      </c>
      <c r="P117" s="32">
        <f t="shared" ca="1" si="32"/>
        <v>0</v>
      </c>
      <c r="Q117" s="32">
        <f t="shared" ca="1" si="33"/>
        <v>0</v>
      </c>
      <c r="R117" s="16">
        <f t="shared" ca="1" si="34"/>
        <v>-7.4214468061546803E-3</v>
      </c>
    </row>
    <row r="118" spans="1:18">
      <c r="A118" s="71"/>
      <c r="B118" s="71"/>
      <c r="C118" s="71"/>
      <c r="D118" s="72">
        <f t="shared" si="20"/>
        <v>0</v>
      </c>
      <c r="E118" s="72">
        <f t="shared" si="21"/>
        <v>0</v>
      </c>
      <c r="F118" s="32">
        <f t="shared" si="22"/>
        <v>0</v>
      </c>
      <c r="G118" s="32">
        <f t="shared" si="23"/>
        <v>0</v>
      </c>
      <c r="H118" s="32">
        <f t="shared" si="24"/>
        <v>0</v>
      </c>
      <c r="I118" s="32">
        <f t="shared" si="25"/>
        <v>0</v>
      </c>
      <c r="J118" s="32">
        <f t="shared" si="26"/>
        <v>0</v>
      </c>
      <c r="K118" s="32">
        <f t="shared" si="27"/>
        <v>0</v>
      </c>
      <c r="L118" s="32">
        <f t="shared" si="28"/>
        <v>0</v>
      </c>
      <c r="M118" s="32">
        <f t="shared" ca="1" si="29"/>
        <v>7.4214468061546803E-3</v>
      </c>
      <c r="N118" s="32">
        <f t="shared" ca="1" si="30"/>
        <v>0</v>
      </c>
      <c r="O118" s="122">
        <f t="shared" ca="1" si="31"/>
        <v>0</v>
      </c>
      <c r="P118" s="32">
        <f t="shared" ca="1" si="32"/>
        <v>0</v>
      </c>
      <c r="Q118" s="32">
        <f t="shared" ca="1" si="33"/>
        <v>0</v>
      </c>
      <c r="R118" s="16">
        <f t="shared" ca="1" si="34"/>
        <v>-7.4214468061546803E-3</v>
      </c>
    </row>
    <row r="119" spans="1:18">
      <c r="A119" s="71"/>
      <c r="B119" s="71"/>
      <c r="C119" s="71"/>
      <c r="D119" s="72">
        <f t="shared" si="20"/>
        <v>0</v>
      </c>
      <c r="E119" s="72">
        <f t="shared" si="21"/>
        <v>0</v>
      </c>
      <c r="F119" s="32">
        <f t="shared" si="22"/>
        <v>0</v>
      </c>
      <c r="G119" s="32">
        <f t="shared" si="23"/>
        <v>0</v>
      </c>
      <c r="H119" s="32">
        <f t="shared" si="24"/>
        <v>0</v>
      </c>
      <c r="I119" s="32">
        <f t="shared" si="25"/>
        <v>0</v>
      </c>
      <c r="J119" s="32">
        <f t="shared" si="26"/>
        <v>0</v>
      </c>
      <c r="K119" s="32">
        <f t="shared" si="27"/>
        <v>0</v>
      </c>
      <c r="L119" s="32">
        <f t="shared" si="28"/>
        <v>0</v>
      </c>
      <c r="M119" s="32">
        <f t="shared" ca="1" si="29"/>
        <v>7.4214468061546803E-3</v>
      </c>
      <c r="N119" s="32">
        <f t="shared" ca="1" si="30"/>
        <v>0</v>
      </c>
      <c r="O119" s="122">
        <f t="shared" ca="1" si="31"/>
        <v>0</v>
      </c>
      <c r="P119" s="32">
        <f t="shared" ca="1" si="32"/>
        <v>0</v>
      </c>
      <c r="Q119" s="32">
        <f t="shared" ca="1" si="33"/>
        <v>0</v>
      </c>
      <c r="R119" s="16">
        <f t="shared" ca="1" si="34"/>
        <v>-7.4214468061546803E-3</v>
      </c>
    </row>
    <row r="120" spans="1:18">
      <c r="A120" s="71"/>
      <c r="B120" s="71"/>
      <c r="C120" s="71"/>
      <c r="D120" s="72">
        <f t="shared" si="20"/>
        <v>0</v>
      </c>
      <c r="E120" s="72">
        <f t="shared" si="21"/>
        <v>0</v>
      </c>
      <c r="F120" s="32">
        <f t="shared" si="22"/>
        <v>0</v>
      </c>
      <c r="G120" s="32">
        <f t="shared" si="23"/>
        <v>0</v>
      </c>
      <c r="H120" s="32">
        <f t="shared" si="24"/>
        <v>0</v>
      </c>
      <c r="I120" s="32">
        <f t="shared" si="25"/>
        <v>0</v>
      </c>
      <c r="J120" s="32">
        <f t="shared" si="26"/>
        <v>0</v>
      </c>
      <c r="K120" s="32">
        <f t="shared" si="27"/>
        <v>0</v>
      </c>
      <c r="L120" s="32">
        <f t="shared" si="28"/>
        <v>0</v>
      </c>
      <c r="M120" s="32">
        <f t="shared" ca="1" si="29"/>
        <v>7.4214468061546803E-3</v>
      </c>
      <c r="N120" s="32">
        <f t="shared" ca="1" si="30"/>
        <v>0</v>
      </c>
      <c r="O120" s="122">
        <f t="shared" ca="1" si="31"/>
        <v>0</v>
      </c>
      <c r="P120" s="32">
        <f t="shared" ca="1" si="32"/>
        <v>0</v>
      </c>
      <c r="Q120" s="32">
        <f t="shared" ca="1" si="33"/>
        <v>0</v>
      </c>
      <c r="R120" s="16">
        <f t="shared" ca="1" si="34"/>
        <v>-7.4214468061546803E-3</v>
      </c>
    </row>
    <row r="121" spans="1:18">
      <c r="A121" s="71"/>
      <c r="B121" s="71"/>
      <c r="C121" s="71"/>
      <c r="D121" s="72">
        <f t="shared" si="20"/>
        <v>0</v>
      </c>
      <c r="E121" s="72">
        <f t="shared" si="21"/>
        <v>0</v>
      </c>
      <c r="F121" s="32">
        <f t="shared" si="22"/>
        <v>0</v>
      </c>
      <c r="G121" s="32">
        <f t="shared" si="23"/>
        <v>0</v>
      </c>
      <c r="H121" s="32">
        <f t="shared" si="24"/>
        <v>0</v>
      </c>
      <c r="I121" s="32">
        <f t="shared" si="25"/>
        <v>0</v>
      </c>
      <c r="J121" s="32">
        <f t="shared" si="26"/>
        <v>0</v>
      </c>
      <c r="K121" s="32">
        <f t="shared" si="27"/>
        <v>0</v>
      </c>
      <c r="L121" s="32">
        <f t="shared" si="28"/>
        <v>0</v>
      </c>
      <c r="M121" s="32">
        <f t="shared" ca="1" si="29"/>
        <v>7.4214468061546803E-3</v>
      </c>
      <c r="N121" s="32">
        <f t="shared" ca="1" si="30"/>
        <v>0</v>
      </c>
      <c r="O121" s="122">
        <f t="shared" ca="1" si="31"/>
        <v>0</v>
      </c>
      <c r="P121" s="32">
        <f t="shared" ca="1" si="32"/>
        <v>0</v>
      </c>
      <c r="Q121" s="32">
        <f t="shared" ca="1" si="33"/>
        <v>0</v>
      </c>
      <c r="R121" s="16">
        <f t="shared" ca="1" si="34"/>
        <v>-7.4214468061546803E-3</v>
      </c>
    </row>
    <row r="122" spans="1:18">
      <c r="A122" s="71"/>
      <c r="B122" s="71"/>
      <c r="C122" s="71"/>
      <c r="D122" s="72">
        <f t="shared" si="20"/>
        <v>0</v>
      </c>
      <c r="E122" s="72">
        <f t="shared" si="21"/>
        <v>0</v>
      </c>
      <c r="F122" s="32">
        <f t="shared" si="22"/>
        <v>0</v>
      </c>
      <c r="G122" s="32">
        <f t="shared" si="23"/>
        <v>0</v>
      </c>
      <c r="H122" s="32">
        <f t="shared" si="24"/>
        <v>0</v>
      </c>
      <c r="I122" s="32">
        <f t="shared" si="25"/>
        <v>0</v>
      </c>
      <c r="J122" s="32">
        <f t="shared" si="26"/>
        <v>0</v>
      </c>
      <c r="K122" s="32">
        <f t="shared" si="27"/>
        <v>0</v>
      </c>
      <c r="L122" s="32">
        <f t="shared" si="28"/>
        <v>0</v>
      </c>
      <c r="M122" s="32">
        <f t="shared" ca="1" si="29"/>
        <v>7.4214468061546803E-3</v>
      </c>
      <c r="N122" s="32">
        <f t="shared" ca="1" si="30"/>
        <v>0</v>
      </c>
      <c r="O122" s="122">
        <f t="shared" ca="1" si="31"/>
        <v>0</v>
      </c>
      <c r="P122" s="32">
        <f t="shared" ca="1" si="32"/>
        <v>0</v>
      </c>
      <c r="Q122" s="32">
        <f t="shared" ca="1" si="33"/>
        <v>0</v>
      </c>
      <c r="R122" s="16">
        <f t="shared" ca="1" si="34"/>
        <v>-7.4214468061546803E-3</v>
      </c>
    </row>
    <row r="123" spans="1:18">
      <c r="A123" s="71"/>
      <c r="B123" s="71"/>
      <c r="C123" s="71"/>
      <c r="D123" s="72">
        <f t="shared" si="20"/>
        <v>0</v>
      </c>
      <c r="E123" s="72">
        <f t="shared" si="21"/>
        <v>0</v>
      </c>
      <c r="F123" s="32">
        <f t="shared" si="22"/>
        <v>0</v>
      </c>
      <c r="G123" s="32">
        <f t="shared" si="23"/>
        <v>0</v>
      </c>
      <c r="H123" s="32">
        <f t="shared" si="24"/>
        <v>0</v>
      </c>
      <c r="I123" s="32">
        <f t="shared" si="25"/>
        <v>0</v>
      </c>
      <c r="J123" s="32">
        <f t="shared" si="26"/>
        <v>0</v>
      </c>
      <c r="K123" s="32">
        <f t="shared" si="27"/>
        <v>0</v>
      </c>
      <c r="L123" s="32">
        <f t="shared" si="28"/>
        <v>0</v>
      </c>
      <c r="M123" s="32">
        <f t="shared" ca="1" si="29"/>
        <v>7.4214468061546803E-3</v>
      </c>
      <c r="N123" s="32">
        <f t="shared" ca="1" si="30"/>
        <v>0</v>
      </c>
      <c r="O123" s="122">
        <f t="shared" ca="1" si="31"/>
        <v>0</v>
      </c>
      <c r="P123" s="32">
        <f t="shared" ca="1" si="32"/>
        <v>0</v>
      </c>
      <c r="Q123" s="32">
        <f t="shared" ca="1" si="33"/>
        <v>0</v>
      </c>
      <c r="R123" s="16">
        <f t="shared" ca="1" si="34"/>
        <v>-7.4214468061546803E-3</v>
      </c>
    </row>
    <row r="124" spans="1:18">
      <c r="A124" s="71"/>
      <c r="B124" s="71"/>
      <c r="C124" s="71"/>
      <c r="D124" s="72">
        <f t="shared" si="20"/>
        <v>0</v>
      </c>
      <c r="E124" s="72">
        <f t="shared" si="21"/>
        <v>0</v>
      </c>
      <c r="F124" s="32">
        <f t="shared" si="22"/>
        <v>0</v>
      </c>
      <c r="G124" s="32">
        <f t="shared" si="23"/>
        <v>0</v>
      </c>
      <c r="H124" s="32">
        <f t="shared" si="24"/>
        <v>0</v>
      </c>
      <c r="I124" s="32">
        <f t="shared" si="25"/>
        <v>0</v>
      </c>
      <c r="J124" s="32">
        <f t="shared" si="26"/>
        <v>0</v>
      </c>
      <c r="K124" s="32">
        <f t="shared" si="27"/>
        <v>0</v>
      </c>
      <c r="L124" s="32">
        <f t="shared" si="28"/>
        <v>0</v>
      </c>
      <c r="M124" s="32">
        <f t="shared" ca="1" si="29"/>
        <v>7.4214468061546803E-3</v>
      </c>
      <c r="N124" s="32">
        <f t="shared" ca="1" si="30"/>
        <v>0</v>
      </c>
      <c r="O124" s="122">
        <f t="shared" ca="1" si="31"/>
        <v>0</v>
      </c>
      <c r="P124" s="32">
        <f t="shared" ca="1" si="32"/>
        <v>0</v>
      </c>
      <c r="Q124" s="32">
        <f t="shared" ca="1" si="33"/>
        <v>0</v>
      </c>
      <c r="R124" s="16">
        <f t="shared" ca="1" si="34"/>
        <v>-7.4214468061546803E-3</v>
      </c>
    </row>
    <row r="125" spans="1:18">
      <c r="A125" s="71"/>
      <c r="B125" s="71"/>
      <c r="C125" s="71"/>
      <c r="D125" s="72">
        <f t="shared" si="20"/>
        <v>0</v>
      </c>
      <c r="E125" s="72">
        <f t="shared" si="21"/>
        <v>0</v>
      </c>
      <c r="F125" s="32">
        <f t="shared" si="22"/>
        <v>0</v>
      </c>
      <c r="G125" s="32">
        <f t="shared" si="23"/>
        <v>0</v>
      </c>
      <c r="H125" s="32">
        <f t="shared" si="24"/>
        <v>0</v>
      </c>
      <c r="I125" s="32">
        <f t="shared" si="25"/>
        <v>0</v>
      </c>
      <c r="J125" s="32">
        <f t="shared" si="26"/>
        <v>0</v>
      </c>
      <c r="K125" s="32">
        <f t="shared" si="27"/>
        <v>0</v>
      </c>
      <c r="L125" s="32">
        <f t="shared" si="28"/>
        <v>0</v>
      </c>
      <c r="M125" s="32">
        <f t="shared" ca="1" si="29"/>
        <v>7.4214468061546803E-3</v>
      </c>
      <c r="N125" s="32">
        <f t="shared" ca="1" si="30"/>
        <v>0</v>
      </c>
      <c r="O125" s="122">
        <f t="shared" ca="1" si="31"/>
        <v>0</v>
      </c>
      <c r="P125" s="32">
        <f t="shared" ca="1" si="32"/>
        <v>0</v>
      </c>
      <c r="Q125" s="32">
        <f t="shared" ca="1" si="33"/>
        <v>0</v>
      </c>
      <c r="R125" s="16">
        <f t="shared" ca="1" si="34"/>
        <v>-7.4214468061546803E-3</v>
      </c>
    </row>
    <row r="126" spans="1:18">
      <c r="A126" s="71"/>
      <c r="B126" s="71"/>
      <c r="C126" s="71"/>
      <c r="D126" s="72">
        <f t="shared" si="20"/>
        <v>0</v>
      </c>
      <c r="E126" s="72">
        <f t="shared" si="21"/>
        <v>0</v>
      </c>
      <c r="F126" s="32">
        <f t="shared" si="22"/>
        <v>0</v>
      </c>
      <c r="G126" s="32">
        <f t="shared" si="23"/>
        <v>0</v>
      </c>
      <c r="H126" s="32">
        <f t="shared" si="24"/>
        <v>0</v>
      </c>
      <c r="I126" s="32">
        <f t="shared" si="25"/>
        <v>0</v>
      </c>
      <c r="J126" s="32">
        <f t="shared" si="26"/>
        <v>0</v>
      </c>
      <c r="K126" s="32">
        <f t="shared" si="27"/>
        <v>0</v>
      </c>
      <c r="L126" s="32">
        <f t="shared" si="28"/>
        <v>0</v>
      </c>
      <c r="M126" s="32">
        <f t="shared" ca="1" si="29"/>
        <v>7.4214468061546803E-3</v>
      </c>
      <c r="N126" s="32">
        <f t="shared" ca="1" si="30"/>
        <v>0</v>
      </c>
      <c r="O126" s="122">
        <f t="shared" ca="1" si="31"/>
        <v>0</v>
      </c>
      <c r="P126" s="32">
        <f t="shared" ca="1" si="32"/>
        <v>0</v>
      </c>
      <c r="Q126" s="32">
        <f t="shared" ca="1" si="33"/>
        <v>0</v>
      </c>
      <c r="R126" s="16">
        <f t="shared" ca="1" si="34"/>
        <v>-7.4214468061546803E-3</v>
      </c>
    </row>
    <row r="127" spans="1:18">
      <c r="A127" s="71"/>
      <c r="B127" s="71"/>
      <c r="C127" s="71"/>
      <c r="D127" s="72">
        <f t="shared" si="20"/>
        <v>0</v>
      </c>
      <c r="E127" s="72">
        <f t="shared" si="21"/>
        <v>0</v>
      </c>
      <c r="F127" s="32">
        <f t="shared" si="22"/>
        <v>0</v>
      </c>
      <c r="G127" s="32">
        <f t="shared" si="23"/>
        <v>0</v>
      </c>
      <c r="H127" s="32">
        <f t="shared" si="24"/>
        <v>0</v>
      </c>
      <c r="I127" s="32">
        <f t="shared" si="25"/>
        <v>0</v>
      </c>
      <c r="J127" s="32">
        <f t="shared" si="26"/>
        <v>0</v>
      </c>
      <c r="K127" s="32">
        <f t="shared" si="27"/>
        <v>0</v>
      </c>
      <c r="L127" s="32">
        <f t="shared" si="28"/>
        <v>0</v>
      </c>
      <c r="M127" s="32">
        <f t="shared" ca="1" si="29"/>
        <v>7.4214468061546803E-3</v>
      </c>
      <c r="N127" s="32">
        <f t="shared" ca="1" si="30"/>
        <v>0</v>
      </c>
      <c r="O127" s="122">
        <f t="shared" ca="1" si="31"/>
        <v>0</v>
      </c>
      <c r="P127" s="32">
        <f t="shared" ca="1" si="32"/>
        <v>0</v>
      </c>
      <c r="Q127" s="32">
        <f t="shared" ca="1" si="33"/>
        <v>0</v>
      </c>
      <c r="R127" s="16">
        <f t="shared" ca="1" si="34"/>
        <v>-7.4214468061546803E-3</v>
      </c>
    </row>
    <row r="128" spans="1:18">
      <c r="A128" s="71"/>
      <c r="B128" s="71"/>
      <c r="C128" s="71"/>
      <c r="D128" s="72">
        <f t="shared" si="20"/>
        <v>0</v>
      </c>
      <c r="E128" s="72">
        <f t="shared" si="21"/>
        <v>0</v>
      </c>
      <c r="F128" s="32">
        <f t="shared" si="22"/>
        <v>0</v>
      </c>
      <c r="G128" s="32">
        <f t="shared" si="23"/>
        <v>0</v>
      </c>
      <c r="H128" s="32">
        <f t="shared" si="24"/>
        <v>0</v>
      </c>
      <c r="I128" s="32">
        <f t="shared" si="25"/>
        <v>0</v>
      </c>
      <c r="J128" s="32">
        <f t="shared" si="26"/>
        <v>0</v>
      </c>
      <c r="K128" s="32">
        <f t="shared" si="27"/>
        <v>0</v>
      </c>
      <c r="L128" s="32">
        <f t="shared" si="28"/>
        <v>0</v>
      </c>
      <c r="M128" s="32">
        <f t="shared" ca="1" si="29"/>
        <v>7.4214468061546803E-3</v>
      </c>
      <c r="N128" s="32">
        <f t="shared" ca="1" si="30"/>
        <v>0</v>
      </c>
      <c r="O128" s="122">
        <f t="shared" ca="1" si="31"/>
        <v>0</v>
      </c>
      <c r="P128" s="32">
        <f t="shared" ca="1" si="32"/>
        <v>0</v>
      </c>
      <c r="Q128" s="32">
        <f t="shared" ca="1" si="33"/>
        <v>0</v>
      </c>
      <c r="R128" s="16">
        <f t="shared" ca="1" si="34"/>
        <v>-7.4214468061546803E-3</v>
      </c>
    </row>
    <row r="129" spans="1:18">
      <c r="A129" s="71"/>
      <c r="B129" s="71"/>
      <c r="C129" s="71"/>
      <c r="D129" s="72">
        <f t="shared" si="20"/>
        <v>0</v>
      </c>
      <c r="E129" s="72">
        <f t="shared" si="21"/>
        <v>0</v>
      </c>
      <c r="F129" s="32">
        <f t="shared" si="22"/>
        <v>0</v>
      </c>
      <c r="G129" s="32">
        <f t="shared" si="23"/>
        <v>0</v>
      </c>
      <c r="H129" s="32">
        <f t="shared" si="24"/>
        <v>0</v>
      </c>
      <c r="I129" s="32">
        <f t="shared" si="25"/>
        <v>0</v>
      </c>
      <c r="J129" s="32">
        <f t="shared" si="26"/>
        <v>0</v>
      </c>
      <c r="K129" s="32">
        <f t="shared" si="27"/>
        <v>0</v>
      </c>
      <c r="L129" s="32">
        <f t="shared" si="28"/>
        <v>0</v>
      </c>
      <c r="M129" s="32">
        <f t="shared" ca="1" si="29"/>
        <v>7.4214468061546803E-3</v>
      </c>
      <c r="N129" s="32">
        <f t="shared" ca="1" si="30"/>
        <v>0</v>
      </c>
      <c r="O129" s="122">
        <f t="shared" ca="1" si="31"/>
        <v>0</v>
      </c>
      <c r="P129" s="32">
        <f t="shared" ca="1" si="32"/>
        <v>0</v>
      </c>
      <c r="Q129" s="32">
        <f t="shared" ca="1" si="33"/>
        <v>0</v>
      </c>
      <c r="R129" s="16">
        <f t="shared" ca="1" si="34"/>
        <v>-7.4214468061546803E-3</v>
      </c>
    </row>
    <row r="130" spans="1:18">
      <c r="A130" s="71"/>
      <c r="B130" s="71"/>
      <c r="C130" s="71"/>
      <c r="D130" s="72">
        <f t="shared" si="20"/>
        <v>0</v>
      </c>
      <c r="E130" s="72">
        <f t="shared" si="21"/>
        <v>0</v>
      </c>
      <c r="F130" s="32">
        <f t="shared" si="22"/>
        <v>0</v>
      </c>
      <c r="G130" s="32">
        <f t="shared" si="23"/>
        <v>0</v>
      </c>
      <c r="H130" s="32">
        <f t="shared" si="24"/>
        <v>0</v>
      </c>
      <c r="I130" s="32">
        <f t="shared" si="25"/>
        <v>0</v>
      </c>
      <c r="J130" s="32">
        <f t="shared" si="26"/>
        <v>0</v>
      </c>
      <c r="K130" s="32">
        <f t="shared" si="27"/>
        <v>0</v>
      </c>
      <c r="L130" s="32">
        <f t="shared" si="28"/>
        <v>0</v>
      </c>
      <c r="M130" s="32">
        <f t="shared" ca="1" si="29"/>
        <v>7.4214468061546803E-3</v>
      </c>
      <c r="N130" s="32">
        <f t="shared" ca="1" si="30"/>
        <v>0</v>
      </c>
      <c r="O130" s="122">
        <f t="shared" ca="1" si="31"/>
        <v>0</v>
      </c>
      <c r="P130" s="32">
        <f t="shared" ca="1" si="32"/>
        <v>0</v>
      </c>
      <c r="Q130" s="32">
        <f t="shared" ca="1" si="33"/>
        <v>0</v>
      </c>
      <c r="R130" s="16">
        <f t="shared" ca="1" si="34"/>
        <v>-7.4214468061546803E-3</v>
      </c>
    </row>
    <row r="131" spans="1:18">
      <c r="A131" s="71"/>
      <c r="B131" s="71"/>
      <c r="C131" s="71"/>
      <c r="D131" s="72">
        <f t="shared" si="20"/>
        <v>0</v>
      </c>
      <c r="E131" s="72">
        <f t="shared" si="21"/>
        <v>0</v>
      </c>
      <c r="F131" s="32">
        <f t="shared" si="22"/>
        <v>0</v>
      </c>
      <c r="G131" s="32">
        <f t="shared" si="23"/>
        <v>0</v>
      </c>
      <c r="H131" s="32">
        <f t="shared" si="24"/>
        <v>0</v>
      </c>
      <c r="I131" s="32">
        <f t="shared" si="25"/>
        <v>0</v>
      </c>
      <c r="J131" s="32">
        <f t="shared" si="26"/>
        <v>0</v>
      </c>
      <c r="K131" s="32">
        <f t="shared" si="27"/>
        <v>0</v>
      </c>
      <c r="L131" s="32">
        <f t="shared" si="28"/>
        <v>0</v>
      </c>
      <c r="M131" s="32">
        <f t="shared" ca="1" si="29"/>
        <v>7.4214468061546803E-3</v>
      </c>
      <c r="N131" s="32">
        <f t="shared" ca="1" si="30"/>
        <v>0</v>
      </c>
      <c r="O131" s="122">
        <f t="shared" ca="1" si="31"/>
        <v>0</v>
      </c>
      <c r="P131" s="32">
        <f t="shared" ca="1" si="32"/>
        <v>0</v>
      </c>
      <c r="Q131" s="32">
        <f t="shared" ca="1" si="33"/>
        <v>0</v>
      </c>
      <c r="R131" s="16">
        <f t="shared" ca="1" si="34"/>
        <v>-7.4214468061546803E-3</v>
      </c>
    </row>
    <row r="132" spans="1:18">
      <c r="A132" s="71"/>
      <c r="B132" s="71"/>
      <c r="C132" s="71"/>
      <c r="D132" s="72">
        <f t="shared" si="20"/>
        <v>0</v>
      </c>
      <c r="E132" s="72">
        <f t="shared" si="21"/>
        <v>0</v>
      </c>
      <c r="F132" s="32">
        <f t="shared" si="22"/>
        <v>0</v>
      </c>
      <c r="G132" s="32">
        <f t="shared" si="23"/>
        <v>0</v>
      </c>
      <c r="H132" s="32">
        <f t="shared" si="24"/>
        <v>0</v>
      </c>
      <c r="I132" s="32">
        <f t="shared" si="25"/>
        <v>0</v>
      </c>
      <c r="J132" s="32">
        <f t="shared" si="26"/>
        <v>0</v>
      </c>
      <c r="K132" s="32">
        <f t="shared" si="27"/>
        <v>0</v>
      </c>
      <c r="L132" s="32">
        <f t="shared" si="28"/>
        <v>0</v>
      </c>
      <c r="M132" s="32">
        <f t="shared" ca="1" si="29"/>
        <v>7.4214468061546803E-3</v>
      </c>
      <c r="N132" s="32">
        <f t="shared" ca="1" si="30"/>
        <v>0</v>
      </c>
      <c r="O132" s="122">
        <f t="shared" ca="1" si="31"/>
        <v>0</v>
      </c>
      <c r="P132" s="32">
        <f t="shared" ca="1" si="32"/>
        <v>0</v>
      </c>
      <c r="Q132" s="32">
        <f t="shared" ca="1" si="33"/>
        <v>0</v>
      </c>
      <c r="R132" s="16">
        <f t="shared" ca="1" si="34"/>
        <v>-7.4214468061546803E-3</v>
      </c>
    </row>
    <row r="133" spans="1:18">
      <c r="A133" s="71"/>
      <c r="B133" s="71"/>
      <c r="C133" s="71"/>
      <c r="D133" s="72">
        <f t="shared" si="20"/>
        <v>0</v>
      </c>
      <c r="E133" s="72">
        <f t="shared" si="21"/>
        <v>0</v>
      </c>
      <c r="F133" s="32">
        <f t="shared" si="22"/>
        <v>0</v>
      </c>
      <c r="G133" s="32">
        <f t="shared" si="23"/>
        <v>0</v>
      </c>
      <c r="H133" s="32">
        <f t="shared" si="24"/>
        <v>0</v>
      </c>
      <c r="I133" s="32">
        <f t="shared" si="25"/>
        <v>0</v>
      </c>
      <c r="J133" s="32">
        <f t="shared" si="26"/>
        <v>0</v>
      </c>
      <c r="K133" s="32">
        <f t="shared" si="27"/>
        <v>0</v>
      </c>
      <c r="L133" s="32">
        <f t="shared" si="28"/>
        <v>0</v>
      </c>
      <c r="M133" s="32">
        <f t="shared" ca="1" si="29"/>
        <v>7.4214468061546803E-3</v>
      </c>
      <c r="N133" s="32">
        <f t="shared" ca="1" si="30"/>
        <v>0</v>
      </c>
      <c r="O133" s="122">
        <f t="shared" ca="1" si="31"/>
        <v>0</v>
      </c>
      <c r="P133" s="32">
        <f t="shared" ca="1" si="32"/>
        <v>0</v>
      </c>
      <c r="Q133" s="32">
        <f t="shared" ca="1" si="33"/>
        <v>0</v>
      </c>
      <c r="R133" s="16">
        <f t="shared" ca="1" si="34"/>
        <v>-7.4214468061546803E-3</v>
      </c>
    </row>
    <row r="134" spans="1:18">
      <c r="A134" s="71"/>
      <c r="B134" s="71"/>
      <c r="C134" s="71"/>
      <c r="D134" s="72">
        <f t="shared" si="20"/>
        <v>0</v>
      </c>
      <c r="E134" s="72">
        <f t="shared" si="21"/>
        <v>0</v>
      </c>
      <c r="F134" s="32">
        <f t="shared" si="22"/>
        <v>0</v>
      </c>
      <c r="G134" s="32">
        <f t="shared" si="23"/>
        <v>0</v>
      </c>
      <c r="H134" s="32">
        <f t="shared" si="24"/>
        <v>0</v>
      </c>
      <c r="I134" s="32">
        <f t="shared" si="25"/>
        <v>0</v>
      </c>
      <c r="J134" s="32">
        <f t="shared" si="26"/>
        <v>0</v>
      </c>
      <c r="K134" s="32">
        <f t="shared" si="27"/>
        <v>0</v>
      </c>
      <c r="L134" s="32">
        <f t="shared" si="28"/>
        <v>0</v>
      </c>
      <c r="M134" s="32">
        <f t="shared" ca="1" si="29"/>
        <v>7.4214468061546803E-3</v>
      </c>
      <c r="N134" s="32">
        <f t="shared" ca="1" si="30"/>
        <v>0</v>
      </c>
      <c r="O134" s="122">
        <f t="shared" ca="1" si="31"/>
        <v>0</v>
      </c>
      <c r="P134" s="32">
        <f t="shared" ca="1" si="32"/>
        <v>0</v>
      </c>
      <c r="Q134" s="32">
        <f t="shared" ca="1" si="33"/>
        <v>0</v>
      </c>
      <c r="R134" s="16">
        <f t="shared" ca="1" si="34"/>
        <v>-7.4214468061546803E-3</v>
      </c>
    </row>
    <row r="135" spans="1:18">
      <c r="A135" s="71"/>
      <c r="B135" s="71"/>
      <c r="C135" s="71"/>
      <c r="D135" s="72">
        <f t="shared" si="20"/>
        <v>0</v>
      </c>
      <c r="E135" s="72">
        <f t="shared" si="21"/>
        <v>0</v>
      </c>
      <c r="F135" s="32">
        <f t="shared" si="22"/>
        <v>0</v>
      </c>
      <c r="G135" s="32">
        <f t="shared" si="23"/>
        <v>0</v>
      </c>
      <c r="H135" s="32">
        <f t="shared" si="24"/>
        <v>0</v>
      </c>
      <c r="I135" s="32">
        <f t="shared" si="25"/>
        <v>0</v>
      </c>
      <c r="J135" s="32">
        <f t="shared" si="26"/>
        <v>0</v>
      </c>
      <c r="K135" s="32">
        <f t="shared" si="27"/>
        <v>0</v>
      </c>
      <c r="L135" s="32">
        <f t="shared" si="28"/>
        <v>0</v>
      </c>
      <c r="M135" s="32">
        <f t="shared" ca="1" si="29"/>
        <v>7.4214468061546803E-3</v>
      </c>
      <c r="N135" s="32">
        <f t="shared" ca="1" si="30"/>
        <v>0</v>
      </c>
      <c r="O135" s="122">
        <f t="shared" ca="1" si="31"/>
        <v>0</v>
      </c>
      <c r="P135" s="32">
        <f t="shared" ca="1" si="32"/>
        <v>0</v>
      </c>
      <c r="Q135" s="32">
        <f t="shared" ca="1" si="33"/>
        <v>0</v>
      </c>
      <c r="R135" s="16">
        <f t="shared" ca="1" si="34"/>
        <v>-7.4214468061546803E-3</v>
      </c>
    </row>
    <row r="136" spans="1:18">
      <c r="A136" s="71"/>
      <c r="B136" s="71"/>
      <c r="C136" s="71"/>
      <c r="D136" s="72">
        <f t="shared" si="20"/>
        <v>0</v>
      </c>
      <c r="E136" s="72">
        <f t="shared" si="21"/>
        <v>0</v>
      </c>
      <c r="F136" s="32">
        <f t="shared" si="22"/>
        <v>0</v>
      </c>
      <c r="G136" s="32">
        <f t="shared" si="23"/>
        <v>0</v>
      </c>
      <c r="H136" s="32">
        <f t="shared" si="24"/>
        <v>0</v>
      </c>
      <c r="I136" s="32">
        <f t="shared" si="25"/>
        <v>0</v>
      </c>
      <c r="J136" s="32">
        <f t="shared" si="26"/>
        <v>0</v>
      </c>
      <c r="K136" s="32">
        <f t="shared" si="27"/>
        <v>0</v>
      </c>
      <c r="L136" s="32">
        <f t="shared" si="28"/>
        <v>0</v>
      </c>
      <c r="M136" s="32">
        <f t="shared" ca="1" si="29"/>
        <v>7.4214468061546803E-3</v>
      </c>
      <c r="N136" s="32">
        <f t="shared" ca="1" si="30"/>
        <v>0</v>
      </c>
      <c r="O136" s="122">
        <f t="shared" ca="1" si="31"/>
        <v>0</v>
      </c>
      <c r="P136" s="32">
        <f t="shared" ca="1" si="32"/>
        <v>0</v>
      </c>
      <c r="Q136" s="32">
        <f t="shared" ca="1" si="33"/>
        <v>0</v>
      </c>
      <c r="R136" s="16">
        <f t="shared" ca="1" si="34"/>
        <v>-7.4214468061546803E-3</v>
      </c>
    </row>
    <row r="137" spans="1:18">
      <c r="A137" s="71"/>
      <c r="B137" s="71"/>
      <c r="C137" s="71"/>
      <c r="D137" s="72">
        <f t="shared" si="20"/>
        <v>0</v>
      </c>
      <c r="E137" s="72">
        <f t="shared" si="21"/>
        <v>0</v>
      </c>
      <c r="F137" s="32">
        <f t="shared" si="22"/>
        <v>0</v>
      </c>
      <c r="G137" s="32">
        <f t="shared" si="23"/>
        <v>0</v>
      </c>
      <c r="H137" s="32">
        <f t="shared" si="24"/>
        <v>0</v>
      </c>
      <c r="I137" s="32">
        <f t="shared" si="25"/>
        <v>0</v>
      </c>
      <c r="J137" s="32">
        <f t="shared" si="26"/>
        <v>0</v>
      </c>
      <c r="K137" s="32">
        <f t="shared" si="27"/>
        <v>0</v>
      </c>
      <c r="L137" s="32">
        <f t="shared" si="28"/>
        <v>0</v>
      </c>
      <c r="M137" s="32">
        <f t="shared" ca="1" si="29"/>
        <v>7.4214468061546803E-3</v>
      </c>
      <c r="N137" s="32">
        <f t="shared" ca="1" si="30"/>
        <v>0</v>
      </c>
      <c r="O137" s="122">
        <f t="shared" ca="1" si="31"/>
        <v>0</v>
      </c>
      <c r="P137" s="32">
        <f t="shared" ca="1" si="32"/>
        <v>0</v>
      </c>
      <c r="Q137" s="32">
        <f t="shared" ca="1" si="33"/>
        <v>0</v>
      </c>
      <c r="R137" s="16">
        <f t="shared" ca="1" si="34"/>
        <v>-7.4214468061546803E-3</v>
      </c>
    </row>
    <row r="138" spans="1:18">
      <c r="A138" s="71"/>
      <c r="B138" s="71"/>
      <c r="C138" s="71"/>
      <c r="D138" s="72">
        <f t="shared" si="20"/>
        <v>0</v>
      </c>
      <c r="E138" s="72">
        <f t="shared" si="21"/>
        <v>0</v>
      </c>
      <c r="F138" s="32">
        <f t="shared" si="22"/>
        <v>0</v>
      </c>
      <c r="G138" s="32">
        <f t="shared" si="23"/>
        <v>0</v>
      </c>
      <c r="H138" s="32">
        <f t="shared" si="24"/>
        <v>0</v>
      </c>
      <c r="I138" s="32">
        <f t="shared" si="25"/>
        <v>0</v>
      </c>
      <c r="J138" s="32">
        <f t="shared" si="26"/>
        <v>0</v>
      </c>
      <c r="K138" s="32">
        <f t="shared" si="27"/>
        <v>0</v>
      </c>
      <c r="L138" s="32">
        <f t="shared" si="28"/>
        <v>0</v>
      </c>
      <c r="M138" s="32">
        <f t="shared" ca="1" si="29"/>
        <v>7.4214468061546803E-3</v>
      </c>
      <c r="N138" s="32">
        <f t="shared" ca="1" si="30"/>
        <v>0</v>
      </c>
      <c r="O138" s="122">
        <f t="shared" ca="1" si="31"/>
        <v>0</v>
      </c>
      <c r="P138" s="32">
        <f t="shared" ca="1" si="32"/>
        <v>0</v>
      </c>
      <c r="Q138" s="32">
        <f t="shared" ca="1" si="33"/>
        <v>0</v>
      </c>
      <c r="R138" s="16">
        <f t="shared" ca="1" si="34"/>
        <v>-7.4214468061546803E-3</v>
      </c>
    </row>
    <row r="139" spans="1:18">
      <c r="A139" s="71"/>
      <c r="B139" s="71"/>
      <c r="C139" s="71"/>
      <c r="D139" s="72">
        <f t="shared" si="20"/>
        <v>0</v>
      </c>
      <c r="E139" s="72">
        <f t="shared" si="21"/>
        <v>0</v>
      </c>
      <c r="F139" s="32">
        <f t="shared" si="22"/>
        <v>0</v>
      </c>
      <c r="G139" s="32">
        <f t="shared" si="23"/>
        <v>0</v>
      </c>
      <c r="H139" s="32">
        <f t="shared" si="24"/>
        <v>0</v>
      </c>
      <c r="I139" s="32">
        <f t="shared" si="25"/>
        <v>0</v>
      </c>
      <c r="J139" s="32">
        <f t="shared" si="26"/>
        <v>0</v>
      </c>
      <c r="K139" s="32">
        <f t="shared" si="27"/>
        <v>0</v>
      </c>
      <c r="L139" s="32">
        <f t="shared" si="28"/>
        <v>0</v>
      </c>
      <c r="M139" s="32">
        <f t="shared" ca="1" si="29"/>
        <v>7.4214468061546803E-3</v>
      </c>
      <c r="N139" s="32">
        <f t="shared" ca="1" si="30"/>
        <v>0</v>
      </c>
      <c r="O139" s="122">
        <f t="shared" ca="1" si="31"/>
        <v>0</v>
      </c>
      <c r="P139" s="32">
        <f t="shared" ca="1" si="32"/>
        <v>0</v>
      </c>
      <c r="Q139" s="32">
        <f t="shared" ca="1" si="33"/>
        <v>0</v>
      </c>
      <c r="R139" s="16">
        <f t="shared" ca="1" si="34"/>
        <v>-7.4214468061546803E-3</v>
      </c>
    </row>
    <row r="140" spans="1:18">
      <c r="A140" s="71"/>
      <c r="B140" s="71"/>
      <c r="C140" s="71"/>
      <c r="D140" s="72">
        <f t="shared" si="20"/>
        <v>0</v>
      </c>
      <c r="E140" s="72">
        <f t="shared" si="21"/>
        <v>0</v>
      </c>
      <c r="F140" s="32">
        <f t="shared" si="22"/>
        <v>0</v>
      </c>
      <c r="G140" s="32">
        <f t="shared" si="23"/>
        <v>0</v>
      </c>
      <c r="H140" s="32">
        <f t="shared" si="24"/>
        <v>0</v>
      </c>
      <c r="I140" s="32">
        <f t="shared" si="25"/>
        <v>0</v>
      </c>
      <c r="J140" s="32">
        <f t="shared" si="26"/>
        <v>0</v>
      </c>
      <c r="K140" s="32">
        <f t="shared" si="27"/>
        <v>0</v>
      </c>
      <c r="L140" s="32">
        <f t="shared" si="28"/>
        <v>0</v>
      </c>
      <c r="M140" s="32">
        <f t="shared" ca="1" si="29"/>
        <v>7.4214468061546803E-3</v>
      </c>
      <c r="N140" s="32">
        <f t="shared" ca="1" si="30"/>
        <v>0</v>
      </c>
      <c r="O140" s="122">
        <f t="shared" ca="1" si="31"/>
        <v>0</v>
      </c>
      <c r="P140" s="32">
        <f t="shared" ca="1" si="32"/>
        <v>0</v>
      </c>
      <c r="Q140" s="32">
        <f t="shared" ca="1" si="33"/>
        <v>0</v>
      </c>
      <c r="R140" s="16">
        <f t="shared" ca="1" si="34"/>
        <v>-7.4214468061546803E-3</v>
      </c>
    </row>
    <row r="141" spans="1:18">
      <c r="A141" s="71"/>
      <c r="B141" s="71"/>
      <c r="C141" s="71"/>
      <c r="D141" s="72">
        <f t="shared" si="20"/>
        <v>0</v>
      </c>
      <c r="E141" s="72">
        <f t="shared" si="21"/>
        <v>0</v>
      </c>
      <c r="F141" s="32">
        <f t="shared" si="22"/>
        <v>0</v>
      </c>
      <c r="G141" s="32">
        <f t="shared" si="23"/>
        <v>0</v>
      </c>
      <c r="H141" s="32">
        <f t="shared" si="24"/>
        <v>0</v>
      </c>
      <c r="I141" s="32">
        <f t="shared" si="25"/>
        <v>0</v>
      </c>
      <c r="J141" s="32">
        <f t="shared" si="26"/>
        <v>0</v>
      </c>
      <c r="K141" s="32">
        <f t="shared" si="27"/>
        <v>0</v>
      </c>
      <c r="L141" s="32">
        <f t="shared" si="28"/>
        <v>0</v>
      </c>
      <c r="M141" s="32">
        <f t="shared" ca="1" si="29"/>
        <v>7.4214468061546803E-3</v>
      </c>
      <c r="N141" s="32">
        <f t="shared" ca="1" si="30"/>
        <v>0</v>
      </c>
      <c r="O141" s="122">
        <f t="shared" ca="1" si="31"/>
        <v>0</v>
      </c>
      <c r="P141" s="32">
        <f t="shared" ca="1" si="32"/>
        <v>0</v>
      </c>
      <c r="Q141" s="32">
        <f t="shared" ca="1" si="33"/>
        <v>0</v>
      </c>
      <c r="R141" s="16">
        <f t="shared" ca="1" si="34"/>
        <v>-7.4214468061546803E-3</v>
      </c>
    </row>
    <row r="142" spans="1:18">
      <c r="A142" s="71"/>
      <c r="B142" s="71"/>
      <c r="C142" s="71"/>
      <c r="D142" s="72">
        <f t="shared" si="20"/>
        <v>0</v>
      </c>
      <c r="E142" s="72">
        <f t="shared" si="21"/>
        <v>0</v>
      </c>
      <c r="F142" s="32">
        <f t="shared" si="22"/>
        <v>0</v>
      </c>
      <c r="G142" s="32">
        <f t="shared" si="23"/>
        <v>0</v>
      </c>
      <c r="H142" s="32">
        <f t="shared" si="24"/>
        <v>0</v>
      </c>
      <c r="I142" s="32">
        <f t="shared" si="25"/>
        <v>0</v>
      </c>
      <c r="J142" s="32">
        <f t="shared" si="26"/>
        <v>0</v>
      </c>
      <c r="K142" s="32">
        <f t="shared" si="27"/>
        <v>0</v>
      </c>
      <c r="L142" s="32">
        <f t="shared" si="28"/>
        <v>0</v>
      </c>
      <c r="M142" s="32">
        <f t="shared" ca="1" si="29"/>
        <v>7.4214468061546803E-3</v>
      </c>
      <c r="N142" s="32">
        <f t="shared" ca="1" si="30"/>
        <v>0</v>
      </c>
      <c r="O142" s="122">
        <f t="shared" ca="1" si="31"/>
        <v>0</v>
      </c>
      <c r="P142" s="32">
        <f t="shared" ca="1" si="32"/>
        <v>0</v>
      </c>
      <c r="Q142" s="32">
        <f t="shared" ca="1" si="33"/>
        <v>0</v>
      </c>
      <c r="R142" s="16">
        <f t="shared" ca="1" si="34"/>
        <v>-7.4214468061546803E-3</v>
      </c>
    </row>
    <row r="143" spans="1:18">
      <c r="A143" s="71"/>
      <c r="B143" s="71"/>
      <c r="C143" s="71"/>
      <c r="D143" s="72">
        <f t="shared" si="20"/>
        <v>0</v>
      </c>
      <c r="E143" s="72">
        <f t="shared" si="21"/>
        <v>0</v>
      </c>
      <c r="F143" s="32">
        <f t="shared" si="22"/>
        <v>0</v>
      </c>
      <c r="G143" s="32">
        <f t="shared" si="23"/>
        <v>0</v>
      </c>
      <c r="H143" s="32">
        <f t="shared" si="24"/>
        <v>0</v>
      </c>
      <c r="I143" s="32">
        <f t="shared" si="25"/>
        <v>0</v>
      </c>
      <c r="J143" s="32">
        <f t="shared" si="26"/>
        <v>0</v>
      </c>
      <c r="K143" s="32">
        <f t="shared" si="27"/>
        <v>0</v>
      </c>
      <c r="L143" s="32">
        <f t="shared" si="28"/>
        <v>0</v>
      </c>
      <c r="M143" s="32">
        <f t="shared" ca="1" si="29"/>
        <v>7.4214468061546803E-3</v>
      </c>
      <c r="N143" s="32">
        <f t="shared" ca="1" si="30"/>
        <v>0</v>
      </c>
      <c r="O143" s="122">
        <f t="shared" ca="1" si="31"/>
        <v>0</v>
      </c>
      <c r="P143" s="32">
        <f t="shared" ca="1" si="32"/>
        <v>0</v>
      </c>
      <c r="Q143" s="32">
        <f t="shared" ca="1" si="33"/>
        <v>0</v>
      </c>
      <c r="R143" s="16">
        <f t="shared" ca="1" si="34"/>
        <v>-7.4214468061546803E-3</v>
      </c>
    </row>
    <row r="144" spans="1:18">
      <c r="A144" s="71"/>
      <c r="B144" s="71"/>
      <c r="C144" s="71"/>
      <c r="D144" s="72">
        <f t="shared" si="20"/>
        <v>0</v>
      </c>
      <c r="E144" s="72">
        <f t="shared" si="21"/>
        <v>0</v>
      </c>
      <c r="F144" s="32">
        <f t="shared" si="22"/>
        <v>0</v>
      </c>
      <c r="G144" s="32">
        <f t="shared" si="23"/>
        <v>0</v>
      </c>
      <c r="H144" s="32">
        <f t="shared" si="24"/>
        <v>0</v>
      </c>
      <c r="I144" s="32">
        <f t="shared" si="25"/>
        <v>0</v>
      </c>
      <c r="J144" s="32">
        <f t="shared" si="26"/>
        <v>0</v>
      </c>
      <c r="K144" s="32">
        <f t="shared" si="27"/>
        <v>0</v>
      </c>
      <c r="L144" s="32">
        <f t="shared" si="28"/>
        <v>0</v>
      </c>
      <c r="M144" s="32">
        <f t="shared" ca="1" si="29"/>
        <v>7.4214468061546803E-3</v>
      </c>
      <c r="N144" s="32">
        <f t="shared" ca="1" si="30"/>
        <v>0</v>
      </c>
      <c r="O144" s="122">
        <f t="shared" ca="1" si="31"/>
        <v>0</v>
      </c>
      <c r="P144" s="32">
        <f t="shared" ca="1" si="32"/>
        <v>0</v>
      </c>
      <c r="Q144" s="32">
        <f t="shared" ca="1" si="33"/>
        <v>0</v>
      </c>
      <c r="R144" s="16">
        <f t="shared" ca="1" si="34"/>
        <v>-7.4214468061546803E-3</v>
      </c>
    </row>
    <row r="145" spans="1:18">
      <c r="A145" s="71"/>
      <c r="B145" s="71"/>
      <c r="C145" s="71"/>
      <c r="D145" s="72">
        <f t="shared" si="20"/>
        <v>0</v>
      </c>
      <c r="E145" s="72">
        <f t="shared" si="21"/>
        <v>0</v>
      </c>
      <c r="F145" s="32">
        <f t="shared" si="22"/>
        <v>0</v>
      </c>
      <c r="G145" s="32">
        <f t="shared" si="23"/>
        <v>0</v>
      </c>
      <c r="H145" s="32">
        <f t="shared" si="24"/>
        <v>0</v>
      </c>
      <c r="I145" s="32">
        <f t="shared" si="25"/>
        <v>0</v>
      </c>
      <c r="J145" s="32">
        <f t="shared" si="26"/>
        <v>0</v>
      </c>
      <c r="K145" s="32">
        <f t="shared" si="27"/>
        <v>0</v>
      </c>
      <c r="L145" s="32">
        <f t="shared" si="28"/>
        <v>0</v>
      </c>
      <c r="M145" s="32">
        <f t="shared" ca="1" si="29"/>
        <v>7.4214468061546803E-3</v>
      </c>
      <c r="N145" s="32">
        <f t="shared" ca="1" si="30"/>
        <v>0</v>
      </c>
      <c r="O145" s="122">
        <f t="shared" ca="1" si="31"/>
        <v>0</v>
      </c>
      <c r="P145" s="32">
        <f t="shared" ca="1" si="32"/>
        <v>0</v>
      </c>
      <c r="Q145" s="32">
        <f t="shared" ca="1" si="33"/>
        <v>0</v>
      </c>
      <c r="R145" s="16">
        <f t="shared" ca="1" si="34"/>
        <v>-7.4214468061546803E-3</v>
      </c>
    </row>
    <row r="146" spans="1:18">
      <c r="A146" s="71"/>
      <c r="B146" s="71"/>
      <c r="C146" s="71"/>
      <c r="D146" s="72">
        <f t="shared" si="20"/>
        <v>0</v>
      </c>
      <c r="E146" s="72">
        <f t="shared" si="21"/>
        <v>0</v>
      </c>
      <c r="F146" s="32">
        <f t="shared" si="22"/>
        <v>0</v>
      </c>
      <c r="G146" s="32">
        <f t="shared" si="23"/>
        <v>0</v>
      </c>
      <c r="H146" s="32">
        <f t="shared" si="24"/>
        <v>0</v>
      </c>
      <c r="I146" s="32">
        <f t="shared" si="25"/>
        <v>0</v>
      </c>
      <c r="J146" s="32">
        <f t="shared" si="26"/>
        <v>0</v>
      </c>
      <c r="K146" s="32">
        <f t="shared" si="27"/>
        <v>0</v>
      </c>
      <c r="L146" s="32">
        <f t="shared" si="28"/>
        <v>0</v>
      </c>
      <c r="M146" s="32">
        <f t="shared" ca="1" si="29"/>
        <v>7.4214468061546803E-3</v>
      </c>
      <c r="N146" s="32">
        <f t="shared" ca="1" si="30"/>
        <v>0</v>
      </c>
      <c r="O146" s="122">
        <f t="shared" ca="1" si="31"/>
        <v>0</v>
      </c>
      <c r="P146" s="32">
        <f t="shared" ca="1" si="32"/>
        <v>0</v>
      </c>
      <c r="Q146" s="32">
        <f t="shared" ca="1" si="33"/>
        <v>0</v>
      </c>
      <c r="R146" s="16">
        <f t="shared" ca="1" si="34"/>
        <v>-7.4214468061546803E-3</v>
      </c>
    </row>
    <row r="147" spans="1:18">
      <c r="A147" s="71"/>
      <c r="B147" s="71"/>
      <c r="C147" s="71"/>
      <c r="D147" s="72">
        <f t="shared" si="20"/>
        <v>0</v>
      </c>
      <c r="E147" s="72">
        <f t="shared" si="21"/>
        <v>0</v>
      </c>
      <c r="F147" s="32">
        <f t="shared" si="22"/>
        <v>0</v>
      </c>
      <c r="G147" s="32">
        <f t="shared" si="23"/>
        <v>0</v>
      </c>
      <c r="H147" s="32">
        <f t="shared" si="24"/>
        <v>0</v>
      </c>
      <c r="I147" s="32">
        <f t="shared" si="25"/>
        <v>0</v>
      </c>
      <c r="J147" s="32">
        <f t="shared" si="26"/>
        <v>0</v>
      </c>
      <c r="K147" s="32">
        <f t="shared" si="27"/>
        <v>0</v>
      </c>
      <c r="L147" s="32">
        <f t="shared" si="28"/>
        <v>0</v>
      </c>
      <c r="M147" s="32">
        <f t="shared" ca="1" si="29"/>
        <v>7.4214468061546803E-3</v>
      </c>
      <c r="N147" s="32">
        <f t="shared" ca="1" si="30"/>
        <v>0</v>
      </c>
      <c r="O147" s="122">
        <f t="shared" ca="1" si="31"/>
        <v>0</v>
      </c>
      <c r="P147" s="32">
        <f t="shared" ca="1" si="32"/>
        <v>0</v>
      </c>
      <c r="Q147" s="32">
        <f t="shared" ca="1" si="33"/>
        <v>0</v>
      </c>
      <c r="R147" s="16">
        <f t="shared" ca="1" si="34"/>
        <v>-7.4214468061546803E-3</v>
      </c>
    </row>
    <row r="148" spans="1:18">
      <c r="A148" s="71"/>
      <c r="B148" s="71"/>
      <c r="C148" s="71"/>
      <c r="D148" s="72">
        <f t="shared" si="20"/>
        <v>0</v>
      </c>
      <c r="E148" s="72">
        <f t="shared" si="21"/>
        <v>0</v>
      </c>
      <c r="F148" s="32">
        <f t="shared" si="22"/>
        <v>0</v>
      </c>
      <c r="G148" s="32">
        <f t="shared" si="23"/>
        <v>0</v>
      </c>
      <c r="H148" s="32">
        <f t="shared" si="24"/>
        <v>0</v>
      </c>
      <c r="I148" s="32">
        <f t="shared" si="25"/>
        <v>0</v>
      </c>
      <c r="J148" s="32">
        <f t="shared" si="26"/>
        <v>0</v>
      </c>
      <c r="K148" s="32">
        <f t="shared" si="27"/>
        <v>0</v>
      </c>
      <c r="L148" s="32">
        <f t="shared" si="28"/>
        <v>0</v>
      </c>
      <c r="M148" s="32">
        <f t="shared" ca="1" si="29"/>
        <v>7.4214468061546803E-3</v>
      </c>
      <c r="N148" s="32">
        <f t="shared" ca="1" si="30"/>
        <v>0</v>
      </c>
      <c r="O148" s="122">
        <f t="shared" ca="1" si="31"/>
        <v>0</v>
      </c>
      <c r="P148" s="32">
        <f t="shared" ca="1" si="32"/>
        <v>0</v>
      </c>
      <c r="Q148" s="32">
        <f t="shared" ca="1" si="33"/>
        <v>0</v>
      </c>
      <c r="R148" s="16">
        <f t="shared" ca="1" si="34"/>
        <v>-7.4214468061546803E-3</v>
      </c>
    </row>
    <row r="149" spans="1:18">
      <c r="A149" s="71"/>
      <c r="B149" s="71"/>
      <c r="C149" s="71"/>
      <c r="D149" s="72">
        <f t="shared" ref="D149:D212" si="35">A149/A$18</f>
        <v>0</v>
      </c>
      <c r="E149" s="72">
        <f t="shared" ref="E149:E212" si="36">B149/B$18</f>
        <v>0</v>
      </c>
      <c r="F149" s="32">
        <f t="shared" ref="F149:F212" si="37">$C149*D149</f>
        <v>0</v>
      </c>
      <c r="G149" s="32">
        <f t="shared" ref="G149:G212" si="38">$C149*E149</f>
        <v>0</v>
      </c>
      <c r="H149" s="32">
        <f t="shared" ref="H149:H212" si="39">C149*D149*D149</f>
        <v>0</v>
      </c>
      <c r="I149" s="32">
        <f t="shared" ref="I149:I212" si="40">C149*D149*D149*D149</f>
        <v>0</v>
      </c>
      <c r="J149" s="32">
        <f t="shared" ref="J149:J212" si="41">C149*D149*D149*D149*D149</f>
        <v>0</v>
      </c>
      <c r="K149" s="32">
        <f t="shared" ref="K149:K212" si="42">C149*E149*D149</f>
        <v>0</v>
      </c>
      <c r="L149" s="32">
        <f t="shared" ref="L149:L212" si="43">C149*E149*D149*D149</f>
        <v>0</v>
      </c>
      <c r="M149" s="32">
        <f t="shared" ref="M149:M212" ca="1" si="44">+E$4+E$5*D149+E$6*D149^2</f>
        <v>7.4214468061546803E-3</v>
      </c>
      <c r="N149" s="32">
        <f t="shared" ref="N149:N212" ca="1" si="45">C149*(M149-E149)^2</f>
        <v>0</v>
      </c>
      <c r="O149" s="122">
        <f t="shared" ref="O149:O212" ca="1" si="46">(C149*O$1-O$2*F149+O$3*H149)^2</f>
        <v>0</v>
      </c>
      <c r="P149" s="32">
        <f t="shared" ref="P149:P212" ca="1" si="47">(-C149*O$2+O$4*F149-O$5*H149)^2</f>
        <v>0</v>
      </c>
      <c r="Q149" s="32">
        <f t="shared" ref="Q149:Q212" ca="1" si="48">+(C149*O$3-F149*O$5+H149*O$6)^2</f>
        <v>0</v>
      </c>
      <c r="R149" s="16">
        <f t="shared" ref="R149:R212" ca="1" si="49">+E149-M149</f>
        <v>-7.4214468061546803E-3</v>
      </c>
    </row>
    <row r="150" spans="1:18">
      <c r="A150" s="71"/>
      <c r="B150" s="71"/>
      <c r="C150" s="71"/>
      <c r="D150" s="72">
        <f t="shared" si="35"/>
        <v>0</v>
      </c>
      <c r="E150" s="72">
        <f t="shared" si="36"/>
        <v>0</v>
      </c>
      <c r="F150" s="32">
        <f t="shared" si="37"/>
        <v>0</v>
      </c>
      <c r="G150" s="32">
        <f t="shared" si="38"/>
        <v>0</v>
      </c>
      <c r="H150" s="32">
        <f t="shared" si="39"/>
        <v>0</v>
      </c>
      <c r="I150" s="32">
        <f t="shared" si="40"/>
        <v>0</v>
      </c>
      <c r="J150" s="32">
        <f t="shared" si="41"/>
        <v>0</v>
      </c>
      <c r="K150" s="32">
        <f t="shared" si="42"/>
        <v>0</v>
      </c>
      <c r="L150" s="32">
        <f t="shared" si="43"/>
        <v>0</v>
      </c>
      <c r="M150" s="32">
        <f t="shared" ca="1" si="44"/>
        <v>7.4214468061546803E-3</v>
      </c>
      <c r="N150" s="32">
        <f t="shared" ca="1" si="45"/>
        <v>0</v>
      </c>
      <c r="O150" s="122">
        <f t="shared" ca="1" si="46"/>
        <v>0</v>
      </c>
      <c r="P150" s="32">
        <f t="shared" ca="1" si="47"/>
        <v>0</v>
      </c>
      <c r="Q150" s="32">
        <f t="shared" ca="1" si="48"/>
        <v>0</v>
      </c>
      <c r="R150" s="16">
        <f t="shared" ca="1" si="49"/>
        <v>-7.4214468061546803E-3</v>
      </c>
    </row>
    <row r="151" spans="1:18">
      <c r="A151" s="71"/>
      <c r="B151" s="71"/>
      <c r="C151" s="71"/>
      <c r="D151" s="72">
        <f t="shared" si="35"/>
        <v>0</v>
      </c>
      <c r="E151" s="72">
        <f t="shared" si="36"/>
        <v>0</v>
      </c>
      <c r="F151" s="32">
        <f t="shared" si="37"/>
        <v>0</v>
      </c>
      <c r="G151" s="32">
        <f t="shared" si="38"/>
        <v>0</v>
      </c>
      <c r="H151" s="32">
        <f t="shared" si="39"/>
        <v>0</v>
      </c>
      <c r="I151" s="32">
        <f t="shared" si="40"/>
        <v>0</v>
      </c>
      <c r="J151" s="32">
        <f t="shared" si="41"/>
        <v>0</v>
      </c>
      <c r="K151" s="32">
        <f t="shared" si="42"/>
        <v>0</v>
      </c>
      <c r="L151" s="32">
        <f t="shared" si="43"/>
        <v>0</v>
      </c>
      <c r="M151" s="32">
        <f t="shared" ca="1" si="44"/>
        <v>7.4214468061546803E-3</v>
      </c>
      <c r="N151" s="32">
        <f t="shared" ca="1" si="45"/>
        <v>0</v>
      </c>
      <c r="O151" s="122">
        <f t="shared" ca="1" si="46"/>
        <v>0</v>
      </c>
      <c r="P151" s="32">
        <f t="shared" ca="1" si="47"/>
        <v>0</v>
      </c>
      <c r="Q151" s="32">
        <f t="shared" ca="1" si="48"/>
        <v>0</v>
      </c>
      <c r="R151" s="16">
        <f t="shared" ca="1" si="49"/>
        <v>-7.4214468061546803E-3</v>
      </c>
    </row>
    <row r="152" spans="1:18">
      <c r="A152" s="71"/>
      <c r="B152" s="71"/>
      <c r="C152" s="71"/>
      <c r="D152" s="72">
        <f t="shared" si="35"/>
        <v>0</v>
      </c>
      <c r="E152" s="72">
        <f t="shared" si="36"/>
        <v>0</v>
      </c>
      <c r="F152" s="32">
        <f t="shared" si="37"/>
        <v>0</v>
      </c>
      <c r="G152" s="32">
        <f t="shared" si="38"/>
        <v>0</v>
      </c>
      <c r="H152" s="32">
        <f t="shared" si="39"/>
        <v>0</v>
      </c>
      <c r="I152" s="32">
        <f t="shared" si="40"/>
        <v>0</v>
      </c>
      <c r="J152" s="32">
        <f t="shared" si="41"/>
        <v>0</v>
      </c>
      <c r="K152" s="32">
        <f t="shared" si="42"/>
        <v>0</v>
      </c>
      <c r="L152" s="32">
        <f t="shared" si="43"/>
        <v>0</v>
      </c>
      <c r="M152" s="32">
        <f t="shared" ca="1" si="44"/>
        <v>7.4214468061546803E-3</v>
      </c>
      <c r="N152" s="32">
        <f t="shared" ca="1" si="45"/>
        <v>0</v>
      </c>
      <c r="O152" s="122">
        <f t="shared" ca="1" si="46"/>
        <v>0</v>
      </c>
      <c r="P152" s="32">
        <f t="shared" ca="1" si="47"/>
        <v>0</v>
      </c>
      <c r="Q152" s="32">
        <f t="shared" ca="1" si="48"/>
        <v>0</v>
      </c>
      <c r="R152" s="16">
        <f t="shared" ca="1" si="49"/>
        <v>-7.4214468061546803E-3</v>
      </c>
    </row>
    <row r="153" spans="1:18">
      <c r="A153" s="71"/>
      <c r="B153" s="71"/>
      <c r="C153" s="71"/>
      <c r="D153" s="72">
        <f t="shared" si="35"/>
        <v>0</v>
      </c>
      <c r="E153" s="72">
        <f t="shared" si="36"/>
        <v>0</v>
      </c>
      <c r="F153" s="32">
        <f t="shared" si="37"/>
        <v>0</v>
      </c>
      <c r="G153" s="32">
        <f t="shared" si="38"/>
        <v>0</v>
      </c>
      <c r="H153" s="32">
        <f t="shared" si="39"/>
        <v>0</v>
      </c>
      <c r="I153" s="32">
        <f t="shared" si="40"/>
        <v>0</v>
      </c>
      <c r="J153" s="32">
        <f t="shared" si="41"/>
        <v>0</v>
      </c>
      <c r="K153" s="32">
        <f t="shared" si="42"/>
        <v>0</v>
      </c>
      <c r="L153" s="32">
        <f t="shared" si="43"/>
        <v>0</v>
      </c>
      <c r="M153" s="32">
        <f t="shared" ca="1" si="44"/>
        <v>7.4214468061546803E-3</v>
      </c>
      <c r="N153" s="32">
        <f t="shared" ca="1" si="45"/>
        <v>0</v>
      </c>
      <c r="O153" s="122">
        <f t="shared" ca="1" si="46"/>
        <v>0</v>
      </c>
      <c r="P153" s="32">
        <f t="shared" ca="1" si="47"/>
        <v>0</v>
      </c>
      <c r="Q153" s="32">
        <f t="shared" ca="1" si="48"/>
        <v>0</v>
      </c>
      <c r="R153" s="16">
        <f t="shared" ca="1" si="49"/>
        <v>-7.4214468061546803E-3</v>
      </c>
    </row>
    <row r="154" spans="1:18">
      <c r="A154" s="71"/>
      <c r="B154" s="71"/>
      <c r="C154" s="71"/>
      <c r="D154" s="72">
        <f t="shared" si="35"/>
        <v>0</v>
      </c>
      <c r="E154" s="72">
        <f t="shared" si="36"/>
        <v>0</v>
      </c>
      <c r="F154" s="32">
        <f t="shared" si="37"/>
        <v>0</v>
      </c>
      <c r="G154" s="32">
        <f t="shared" si="38"/>
        <v>0</v>
      </c>
      <c r="H154" s="32">
        <f t="shared" si="39"/>
        <v>0</v>
      </c>
      <c r="I154" s="32">
        <f t="shared" si="40"/>
        <v>0</v>
      </c>
      <c r="J154" s="32">
        <f t="shared" si="41"/>
        <v>0</v>
      </c>
      <c r="K154" s="32">
        <f t="shared" si="42"/>
        <v>0</v>
      </c>
      <c r="L154" s="32">
        <f t="shared" si="43"/>
        <v>0</v>
      </c>
      <c r="M154" s="32">
        <f t="shared" ca="1" si="44"/>
        <v>7.4214468061546803E-3</v>
      </c>
      <c r="N154" s="32">
        <f t="shared" ca="1" si="45"/>
        <v>0</v>
      </c>
      <c r="O154" s="122">
        <f t="shared" ca="1" si="46"/>
        <v>0</v>
      </c>
      <c r="P154" s="32">
        <f t="shared" ca="1" si="47"/>
        <v>0</v>
      </c>
      <c r="Q154" s="32">
        <f t="shared" ca="1" si="48"/>
        <v>0</v>
      </c>
      <c r="R154" s="16">
        <f t="shared" ca="1" si="49"/>
        <v>-7.4214468061546803E-3</v>
      </c>
    </row>
    <row r="155" spans="1:18">
      <c r="A155" s="71"/>
      <c r="B155" s="71"/>
      <c r="C155" s="71"/>
      <c r="D155" s="72">
        <f t="shared" si="35"/>
        <v>0</v>
      </c>
      <c r="E155" s="72">
        <f t="shared" si="36"/>
        <v>0</v>
      </c>
      <c r="F155" s="32">
        <f t="shared" si="37"/>
        <v>0</v>
      </c>
      <c r="G155" s="32">
        <f t="shared" si="38"/>
        <v>0</v>
      </c>
      <c r="H155" s="32">
        <f t="shared" si="39"/>
        <v>0</v>
      </c>
      <c r="I155" s="32">
        <f t="shared" si="40"/>
        <v>0</v>
      </c>
      <c r="J155" s="32">
        <f t="shared" si="41"/>
        <v>0</v>
      </c>
      <c r="K155" s="32">
        <f t="shared" si="42"/>
        <v>0</v>
      </c>
      <c r="L155" s="32">
        <f t="shared" si="43"/>
        <v>0</v>
      </c>
      <c r="M155" s="32">
        <f t="shared" ca="1" si="44"/>
        <v>7.4214468061546803E-3</v>
      </c>
      <c r="N155" s="32">
        <f t="shared" ca="1" si="45"/>
        <v>0</v>
      </c>
      <c r="O155" s="122">
        <f t="shared" ca="1" si="46"/>
        <v>0</v>
      </c>
      <c r="P155" s="32">
        <f t="shared" ca="1" si="47"/>
        <v>0</v>
      </c>
      <c r="Q155" s="32">
        <f t="shared" ca="1" si="48"/>
        <v>0</v>
      </c>
      <c r="R155" s="16">
        <f t="shared" ca="1" si="49"/>
        <v>-7.4214468061546803E-3</v>
      </c>
    </row>
    <row r="156" spans="1:18">
      <c r="A156" s="71"/>
      <c r="B156" s="71"/>
      <c r="C156" s="71"/>
      <c r="D156" s="72">
        <f t="shared" si="35"/>
        <v>0</v>
      </c>
      <c r="E156" s="72">
        <f t="shared" si="36"/>
        <v>0</v>
      </c>
      <c r="F156" s="32">
        <f t="shared" si="37"/>
        <v>0</v>
      </c>
      <c r="G156" s="32">
        <f t="shared" si="38"/>
        <v>0</v>
      </c>
      <c r="H156" s="32">
        <f t="shared" si="39"/>
        <v>0</v>
      </c>
      <c r="I156" s="32">
        <f t="shared" si="40"/>
        <v>0</v>
      </c>
      <c r="J156" s="32">
        <f t="shared" si="41"/>
        <v>0</v>
      </c>
      <c r="K156" s="32">
        <f t="shared" si="42"/>
        <v>0</v>
      </c>
      <c r="L156" s="32">
        <f t="shared" si="43"/>
        <v>0</v>
      </c>
      <c r="M156" s="32">
        <f t="shared" ca="1" si="44"/>
        <v>7.4214468061546803E-3</v>
      </c>
      <c r="N156" s="32">
        <f t="shared" ca="1" si="45"/>
        <v>0</v>
      </c>
      <c r="O156" s="122">
        <f t="shared" ca="1" si="46"/>
        <v>0</v>
      </c>
      <c r="P156" s="32">
        <f t="shared" ca="1" si="47"/>
        <v>0</v>
      </c>
      <c r="Q156" s="32">
        <f t="shared" ca="1" si="48"/>
        <v>0</v>
      </c>
      <c r="R156" s="16">
        <f t="shared" ca="1" si="49"/>
        <v>-7.4214468061546803E-3</v>
      </c>
    </row>
    <row r="157" spans="1:18">
      <c r="A157" s="71"/>
      <c r="B157" s="71"/>
      <c r="C157" s="71"/>
      <c r="D157" s="72">
        <f t="shared" si="35"/>
        <v>0</v>
      </c>
      <c r="E157" s="72">
        <f t="shared" si="36"/>
        <v>0</v>
      </c>
      <c r="F157" s="32">
        <f t="shared" si="37"/>
        <v>0</v>
      </c>
      <c r="G157" s="32">
        <f t="shared" si="38"/>
        <v>0</v>
      </c>
      <c r="H157" s="32">
        <f t="shared" si="39"/>
        <v>0</v>
      </c>
      <c r="I157" s="32">
        <f t="shared" si="40"/>
        <v>0</v>
      </c>
      <c r="J157" s="32">
        <f t="shared" si="41"/>
        <v>0</v>
      </c>
      <c r="K157" s="32">
        <f t="shared" si="42"/>
        <v>0</v>
      </c>
      <c r="L157" s="32">
        <f t="shared" si="43"/>
        <v>0</v>
      </c>
      <c r="M157" s="32">
        <f t="shared" ca="1" si="44"/>
        <v>7.4214468061546803E-3</v>
      </c>
      <c r="N157" s="32">
        <f t="shared" ca="1" si="45"/>
        <v>0</v>
      </c>
      <c r="O157" s="122">
        <f t="shared" ca="1" si="46"/>
        <v>0</v>
      </c>
      <c r="P157" s="32">
        <f t="shared" ca="1" si="47"/>
        <v>0</v>
      </c>
      <c r="Q157" s="32">
        <f t="shared" ca="1" si="48"/>
        <v>0</v>
      </c>
      <c r="R157" s="16">
        <f t="shared" ca="1" si="49"/>
        <v>-7.4214468061546803E-3</v>
      </c>
    </row>
    <row r="158" spans="1:18">
      <c r="A158" s="71"/>
      <c r="B158" s="71"/>
      <c r="C158" s="71"/>
      <c r="D158" s="72">
        <f t="shared" si="35"/>
        <v>0</v>
      </c>
      <c r="E158" s="72">
        <f t="shared" si="36"/>
        <v>0</v>
      </c>
      <c r="F158" s="32">
        <f t="shared" si="37"/>
        <v>0</v>
      </c>
      <c r="G158" s="32">
        <f t="shared" si="38"/>
        <v>0</v>
      </c>
      <c r="H158" s="32">
        <f t="shared" si="39"/>
        <v>0</v>
      </c>
      <c r="I158" s="32">
        <f t="shared" si="40"/>
        <v>0</v>
      </c>
      <c r="J158" s="32">
        <f t="shared" si="41"/>
        <v>0</v>
      </c>
      <c r="K158" s="32">
        <f t="shared" si="42"/>
        <v>0</v>
      </c>
      <c r="L158" s="32">
        <f t="shared" si="43"/>
        <v>0</v>
      </c>
      <c r="M158" s="32">
        <f t="shared" ca="1" si="44"/>
        <v>7.4214468061546803E-3</v>
      </c>
      <c r="N158" s="32">
        <f t="shared" ca="1" si="45"/>
        <v>0</v>
      </c>
      <c r="O158" s="122">
        <f t="shared" ca="1" si="46"/>
        <v>0</v>
      </c>
      <c r="P158" s="32">
        <f t="shared" ca="1" si="47"/>
        <v>0</v>
      </c>
      <c r="Q158" s="32">
        <f t="shared" ca="1" si="48"/>
        <v>0</v>
      </c>
      <c r="R158" s="16">
        <f t="shared" ca="1" si="49"/>
        <v>-7.4214468061546803E-3</v>
      </c>
    </row>
    <row r="159" spans="1:18">
      <c r="A159" s="71"/>
      <c r="B159" s="71"/>
      <c r="C159" s="71"/>
      <c r="D159" s="72">
        <f t="shared" si="35"/>
        <v>0</v>
      </c>
      <c r="E159" s="72">
        <f t="shared" si="36"/>
        <v>0</v>
      </c>
      <c r="F159" s="32">
        <f t="shared" si="37"/>
        <v>0</v>
      </c>
      <c r="G159" s="32">
        <f t="shared" si="38"/>
        <v>0</v>
      </c>
      <c r="H159" s="32">
        <f t="shared" si="39"/>
        <v>0</v>
      </c>
      <c r="I159" s="32">
        <f t="shared" si="40"/>
        <v>0</v>
      </c>
      <c r="J159" s="32">
        <f t="shared" si="41"/>
        <v>0</v>
      </c>
      <c r="K159" s="32">
        <f t="shared" si="42"/>
        <v>0</v>
      </c>
      <c r="L159" s="32">
        <f t="shared" si="43"/>
        <v>0</v>
      </c>
      <c r="M159" s="32">
        <f t="shared" ca="1" si="44"/>
        <v>7.4214468061546803E-3</v>
      </c>
      <c r="N159" s="32">
        <f t="shared" ca="1" si="45"/>
        <v>0</v>
      </c>
      <c r="O159" s="122">
        <f t="shared" ca="1" si="46"/>
        <v>0</v>
      </c>
      <c r="P159" s="32">
        <f t="shared" ca="1" si="47"/>
        <v>0</v>
      </c>
      <c r="Q159" s="32">
        <f t="shared" ca="1" si="48"/>
        <v>0</v>
      </c>
      <c r="R159" s="16">
        <f t="shared" ca="1" si="49"/>
        <v>-7.4214468061546803E-3</v>
      </c>
    </row>
    <row r="160" spans="1:18">
      <c r="A160" s="71"/>
      <c r="B160" s="71"/>
      <c r="C160" s="71"/>
      <c r="D160" s="72">
        <f t="shared" si="35"/>
        <v>0</v>
      </c>
      <c r="E160" s="72">
        <f t="shared" si="36"/>
        <v>0</v>
      </c>
      <c r="F160" s="32">
        <f t="shared" si="37"/>
        <v>0</v>
      </c>
      <c r="G160" s="32">
        <f t="shared" si="38"/>
        <v>0</v>
      </c>
      <c r="H160" s="32">
        <f t="shared" si="39"/>
        <v>0</v>
      </c>
      <c r="I160" s="32">
        <f t="shared" si="40"/>
        <v>0</v>
      </c>
      <c r="J160" s="32">
        <f t="shared" si="41"/>
        <v>0</v>
      </c>
      <c r="K160" s="32">
        <f t="shared" si="42"/>
        <v>0</v>
      </c>
      <c r="L160" s="32">
        <f t="shared" si="43"/>
        <v>0</v>
      </c>
      <c r="M160" s="32">
        <f t="shared" ca="1" si="44"/>
        <v>7.4214468061546803E-3</v>
      </c>
      <c r="N160" s="32">
        <f t="shared" ca="1" si="45"/>
        <v>0</v>
      </c>
      <c r="O160" s="122">
        <f t="shared" ca="1" si="46"/>
        <v>0</v>
      </c>
      <c r="P160" s="32">
        <f t="shared" ca="1" si="47"/>
        <v>0</v>
      </c>
      <c r="Q160" s="32">
        <f t="shared" ca="1" si="48"/>
        <v>0</v>
      </c>
      <c r="R160" s="16">
        <f t="shared" ca="1" si="49"/>
        <v>-7.4214468061546803E-3</v>
      </c>
    </row>
    <row r="161" spans="1:18">
      <c r="A161" s="71"/>
      <c r="B161" s="71"/>
      <c r="C161" s="71"/>
      <c r="D161" s="72">
        <f t="shared" si="35"/>
        <v>0</v>
      </c>
      <c r="E161" s="72">
        <f t="shared" si="36"/>
        <v>0</v>
      </c>
      <c r="F161" s="32">
        <f t="shared" si="37"/>
        <v>0</v>
      </c>
      <c r="G161" s="32">
        <f t="shared" si="38"/>
        <v>0</v>
      </c>
      <c r="H161" s="32">
        <f t="shared" si="39"/>
        <v>0</v>
      </c>
      <c r="I161" s="32">
        <f t="shared" si="40"/>
        <v>0</v>
      </c>
      <c r="J161" s="32">
        <f t="shared" si="41"/>
        <v>0</v>
      </c>
      <c r="K161" s="32">
        <f t="shared" si="42"/>
        <v>0</v>
      </c>
      <c r="L161" s="32">
        <f t="shared" si="43"/>
        <v>0</v>
      </c>
      <c r="M161" s="32">
        <f t="shared" ca="1" si="44"/>
        <v>7.4214468061546803E-3</v>
      </c>
      <c r="N161" s="32">
        <f t="shared" ca="1" si="45"/>
        <v>0</v>
      </c>
      <c r="O161" s="122">
        <f t="shared" ca="1" si="46"/>
        <v>0</v>
      </c>
      <c r="P161" s="32">
        <f t="shared" ca="1" si="47"/>
        <v>0</v>
      </c>
      <c r="Q161" s="32">
        <f t="shared" ca="1" si="48"/>
        <v>0</v>
      </c>
      <c r="R161" s="16">
        <f t="shared" ca="1" si="49"/>
        <v>-7.4214468061546803E-3</v>
      </c>
    </row>
    <row r="162" spans="1:18">
      <c r="A162" s="71"/>
      <c r="B162" s="71"/>
      <c r="C162" s="71"/>
      <c r="D162" s="72">
        <f t="shared" si="35"/>
        <v>0</v>
      </c>
      <c r="E162" s="72">
        <f t="shared" si="36"/>
        <v>0</v>
      </c>
      <c r="F162" s="32">
        <f t="shared" si="37"/>
        <v>0</v>
      </c>
      <c r="G162" s="32">
        <f t="shared" si="38"/>
        <v>0</v>
      </c>
      <c r="H162" s="32">
        <f t="shared" si="39"/>
        <v>0</v>
      </c>
      <c r="I162" s="32">
        <f t="shared" si="40"/>
        <v>0</v>
      </c>
      <c r="J162" s="32">
        <f t="shared" si="41"/>
        <v>0</v>
      </c>
      <c r="K162" s="32">
        <f t="shared" si="42"/>
        <v>0</v>
      </c>
      <c r="L162" s="32">
        <f t="shared" si="43"/>
        <v>0</v>
      </c>
      <c r="M162" s="32">
        <f t="shared" ca="1" si="44"/>
        <v>7.4214468061546803E-3</v>
      </c>
      <c r="N162" s="32">
        <f t="shared" ca="1" si="45"/>
        <v>0</v>
      </c>
      <c r="O162" s="122">
        <f t="shared" ca="1" si="46"/>
        <v>0</v>
      </c>
      <c r="P162" s="32">
        <f t="shared" ca="1" si="47"/>
        <v>0</v>
      </c>
      <c r="Q162" s="32">
        <f t="shared" ca="1" si="48"/>
        <v>0</v>
      </c>
      <c r="R162" s="16">
        <f t="shared" ca="1" si="49"/>
        <v>-7.4214468061546803E-3</v>
      </c>
    </row>
    <row r="163" spans="1:18">
      <c r="A163" s="71"/>
      <c r="B163" s="71"/>
      <c r="C163" s="71"/>
      <c r="D163" s="72">
        <f t="shared" si="35"/>
        <v>0</v>
      </c>
      <c r="E163" s="72">
        <f t="shared" si="36"/>
        <v>0</v>
      </c>
      <c r="F163" s="32">
        <f t="shared" si="37"/>
        <v>0</v>
      </c>
      <c r="G163" s="32">
        <f t="shared" si="38"/>
        <v>0</v>
      </c>
      <c r="H163" s="32">
        <f t="shared" si="39"/>
        <v>0</v>
      </c>
      <c r="I163" s="32">
        <f t="shared" si="40"/>
        <v>0</v>
      </c>
      <c r="J163" s="32">
        <f t="shared" si="41"/>
        <v>0</v>
      </c>
      <c r="K163" s="32">
        <f t="shared" si="42"/>
        <v>0</v>
      </c>
      <c r="L163" s="32">
        <f t="shared" si="43"/>
        <v>0</v>
      </c>
      <c r="M163" s="32">
        <f t="shared" ca="1" si="44"/>
        <v>7.4214468061546803E-3</v>
      </c>
      <c r="N163" s="32">
        <f t="shared" ca="1" si="45"/>
        <v>0</v>
      </c>
      <c r="O163" s="122">
        <f t="shared" ca="1" si="46"/>
        <v>0</v>
      </c>
      <c r="P163" s="32">
        <f t="shared" ca="1" si="47"/>
        <v>0</v>
      </c>
      <c r="Q163" s="32">
        <f t="shared" ca="1" si="48"/>
        <v>0</v>
      </c>
      <c r="R163" s="16">
        <f t="shared" ca="1" si="49"/>
        <v>-7.4214468061546803E-3</v>
      </c>
    </row>
    <row r="164" spans="1:18">
      <c r="A164" s="71"/>
      <c r="B164" s="71"/>
      <c r="C164" s="71"/>
      <c r="D164" s="72">
        <f t="shared" si="35"/>
        <v>0</v>
      </c>
      <c r="E164" s="72">
        <f t="shared" si="36"/>
        <v>0</v>
      </c>
      <c r="F164" s="32">
        <f t="shared" si="37"/>
        <v>0</v>
      </c>
      <c r="G164" s="32">
        <f t="shared" si="38"/>
        <v>0</v>
      </c>
      <c r="H164" s="32">
        <f t="shared" si="39"/>
        <v>0</v>
      </c>
      <c r="I164" s="32">
        <f t="shared" si="40"/>
        <v>0</v>
      </c>
      <c r="J164" s="32">
        <f t="shared" si="41"/>
        <v>0</v>
      </c>
      <c r="K164" s="32">
        <f t="shared" si="42"/>
        <v>0</v>
      </c>
      <c r="L164" s="32">
        <f t="shared" si="43"/>
        <v>0</v>
      </c>
      <c r="M164" s="32">
        <f t="shared" ca="1" si="44"/>
        <v>7.4214468061546803E-3</v>
      </c>
      <c r="N164" s="32">
        <f t="shared" ca="1" si="45"/>
        <v>0</v>
      </c>
      <c r="O164" s="122">
        <f t="shared" ca="1" si="46"/>
        <v>0</v>
      </c>
      <c r="P164" s="32">
        <f t="shared" ca="1" si="47"/>
        <v>0</v>
      </c>
      <c r="Q164" s="32">
        <f t="shared" ca="1" si="48"/>
        <v>0</v>
      </c>
      <c r="R164" s="16">
        <f t="shared" ca="1" si="49"/>
        <v>-7.4214468061546803E-3</v>
      </c>
    </row>
    <row r="165" spans="1:18">
      <c r="A165" s="71"/>
      <c r="B165" s="71"/>
      <c r="C165" s="71"/>
      <c r="D165" s="72">
        <f t="shared" si="35"/>
        <v>0</v>
      </c>
      <c r="E165" s="72">
        <f t="shared" si="36"/>
        <v>0</v>
      </c>
      <c r="F165" s="32">
        <f t="shared" si="37"/>
        <v>0</v>
      </c>
      <c r="G165" s="32">
        <f t="shared" si="38"/>
        <v>0</v>
      </c>
      <c r="H165" s="32">
        <f t="shared" si="39"/>
        <v>0</v>
      </c>
      <c r="I165" s="32">
        <f t="shared" si="40"/>
        <v>0</v>
      </c>
      <c r="J165" s="32">
        <f t="shared" si="41"/>
        <v>0</v>
      </c>
      <c r="K165" s="32">
        <f t="shared" si="42"/>
        <v>0</v>
      </c>
      <c r="L165" s="32">
        <f t="shared" si="43"/>
        <v>0</v>
      </c>
      <c r="M165" s="32">
        <f t="shared" ca="1" si="44"/>
        <v>7.4214468061546803E-3</v>
      </c>
      <c r="N165" s="32">
        <f t="shared" ca="1" si="45"/>
        <v>0</v>
      </c>
      <c r="O165" s="122">
        <f t="shared" ca="1" si="46"/>
        <v>0</v>
      </c>
      <c r="P165" s="32">
        <f t="shared" ca="1" si="47"/>
        <v>0</v>
      </c>
      <c r="Q165" s="32">
        <f t="shared" ca="1" si="48"/>
        <v>0</v>
      </c>
      <c r="R165" s="16">
        <f t="shared" ca="1" si="49"/>
        <v>-7.4214468061546803E-3</v>
      </c>
    </row>
    <row r="166" spans="1:18">
      <c r="A166" s="71"/>
      <c r="B166" s="71"/>
      <c r="C166" s="71"/>
      <c r="D166" s="72">
        <f t="shared" si="35"/>
        <v>0</v>
      </c>
      <c r="E166" s="72">
        <f t="shared" si="36"/>
        <v>0</v>
      </c>
      <c r="F166" s="32">
        <f t="shared" si="37"/>
        <v>0</v>
      </c>
      <c r="G166" s="32">
        <f t="shared" si="38"/>
        <v>0</v>
      </c>
      <c r="H166" s="32">
        <f t="shared" si="39"/>
        <v>0</v>
      </c>
      <c r="I166" s="32">
        <f t="shared" si="40"/>
        <v>0</v>
      </c>
      <c r="J166" s="32">
        <f t="shared" si="41"/>
        <v>0</v>
      </c>
      <c r="K166" s="32">
        <f t="shared" si="42"/>
        <v>0</v>
      </c>
      <c r="L166" s="32">
        <f t="shared" si="43"/>
        <v>0</v>
      </c>
      <c r="M166" s="32">
        <f t="shared" ca="1" si="44"/>
        <v>7.4214468061546803E-3</v>
      </c>
      <c r="N166" s="32">
        <f t="shared" ca="1" si="45"/>
        <v>0</v>
      </c>
      <c r="O166" s="122">
        <f t="shared" ca="1" si="46"/>
        <v>0</v>
      </c>
      <c r="P166" s="32">
        <f t="shared" ca="1" si="47"/>
        <v>0</v>
      </c>
      <c r="Q166" s="32">
        <f t="shared" ca="1" si="48"/>
        <v>0</v>
      </c>
      <c r="R166" s="16">
        <f t="shared" ca="1" si="49"/>
        <v>-7.4214468061546803E-3</v>
      </c>
    </row>
    <row r="167" spans="1:18">
      <c r="A167" s="71"/>
      <c r="B167" s="71"/>
      <c r="C167" s="71"/>
      <c r="D167" s="72">
        <f t="shared" si="35"/>
        <v>0</v>
      </c>
      <c r="E167" s="72">
        <f t="shared" si="36"/>
        <v>0</v>
      </c>
      <c r="F167" s="32">
        <f t="shared" si="37"/>
        <v>0</v>
      </c>
      <c r="G167" s="32">
        <f t="shared" si="38"/>
        <v>0</v>
      </c>
      <c r="H167" s="32">
        <f t="shared" si="39"/>
        <v>0</v>
      </c>
      <c r="I167" s="32">
        <f t="shared" si="40"/>
        <v>0</v>
      </c>
      <c r="J167" s="32">
        <f t="shared" si="41"/>
        <v>0</v>
      </c>
      <c r="K167" s="32">
        <f t="shared" si="42"/>
        <v>0</v>
      </c>
      <c r="L167" s="32">
        <f t="shared" si="43"/>
        <v>0</v>
      </c>
      <c r="M167" s="32">
        <f t="shared" ca="1" si="44"/>
        <v>7.4214468061546803E-3</v>
      </c>
      <c r="N167" s="32">
        <f t="shared" ca="1" si="45"/>
        <v>0</v>
      </c>
      <c r="O167" s="122">
        <f t="shared" ca="1" si="46"/>
        <v>0</v>
      </c>
      <c r="P167" s="32">
        <f t="shared" ca="1" si="47"/>
        <v>0</v>
      </c>
      <c r="Q167" s="32">
        <f t="shared" ca="1" si="48"/>
        <v>0</v>
      </c>
      <c r="R167" s="16">
        <f t="shared" ca="1" si="49"/>
        <v>-7.4214468061546803E-3</v>
      </c>
    </row>
    <row r="168" spans="1:18">
      <c r="A168" s="71"/>
      <c r="B168" s="71"/>
      <c r="C168" s="71"/>
      <c r="D168" s="72">
        <f t="shared" si="35"/>
        <v>0</v>
      </c>
      <c r="E168" s="72">
        <f t="shared" si="36"/>
        <v>0</v>
      </c>
      <c r="F168" s="32">
        <f t="shared" si="37"/>
        <v>0</v>
      </c>
      <c r="G168" s="32">
        <f t="shared" si="38"/>
        <v>0</v>
      </c>
      <c r="H168" s="32">
        <f t="shared" si="39"/>
        <v>0</v>
      </c>
      <c r="I168" s="32">
        <f t="shared" si="40"/>
        <v>0</v>
      </c>
      <c r="J168" s="32">
        <f t="shared" si="41"/>
        <v>0</v>
      </c>
      <c r="K168" s="32">
        <f t="shared" si="42"/>
        <v>0</v>
      </c>
      <c r="L168" s="32">
        <f t="shared" si="43"/>
        <v>0</v>
      </c>
      <c r="M168" s="32">
        <f t="shared" ca="1" si="44"/>
        <v>7.4214468061546803E-3</v>
      </c>
      <c r="N168" s="32">
        <f t="shared" ca="1" si="45"/>
        <v>0</v>
      </c>
      <c r="O168" s="122">
        <f t="shared" ca="1" si="46"/>
        <v>0</v>
      </c>
      <c r="P168" s="32">
        <f t="shared" ca="1" si="47"/>
        <v>0</v>
      </c>
      <c r="Q168" s="32">
        <f t="shared" ca="1" si="48"/>
        <v>0</v>
      </c>
      <c r="R168" s="16">
        <f t="shared" ca="1" si="49"/>
        <v>-7.4214468061546803E-3</v>
      </c>
    </row>
    <row r="169" spans="1:18">
      <c r="A169" s="71"/>
      <c r="B169" s="71"/>
      <c r="C169" s="71"/>
      <c r="D169" s="72">
        <f t="shared" si="35"/>
        <v>0</v>
      </c>
      <c r="E169" s="72">
        <f t="shared" si="36"/>
        <v>0</v>
      </c>
      <c r="F169" s="32">
        <f t="shared" si="37"/>
        <v>0</v>
      </c>
      <c r="G169" s="32">
        <f t="shared" si="38"/>
        <v>0</v>
      </c>
      <c r="H169" s="32">
        <f t="shared" si="39"/>
        <v>0</v>
      </c>
      <c r="I169" s="32">
        <f t="shared" si="40"/>
        <v>0</v>
      </c>
      <c r="J169" s="32">
        <f t="shared" si="41"/>
        <v>0</v>
      </c>
      <c r="K169" s="32">
        <f t="shared" si="42"/>
        <v>0</v>
      </c>
      <c r="L169" s="32">
        <f t="shared" si="43"/>
        <v>0</v>
      </c>
      <c r="M169" s="32">
        <f t="shared" ca="1" si="44"/>
        <v>7.4214468061546803E-3</v>
      </c>
      <c r="N169" s="32">
        <f t="shared" ca="1" si="45"/>
        <v>0</v>
      </c>
      <c r="O169" s="122">
        <f t="shared" ca="1" si="46"/>
        <v>0</v>
      </c>
      <c r="P169" s="32">
        <f t="shared" ca="1" si="47"/>
        <v>0</v>
      </c>
      <c r="Q169" s="32">
        <f t="shared" ca="1" si="48"/>
        <v>0</v>
      </c>
      <c r="R169" s="16">
        <f t="shared" ca="1" si="49"/>
        <v>-7.4214468061546803E-3</v>
      </c>
    </row>
    <row r="170" spans="1:18">
      <c r="A170" s="71"/>
      <c r="B170" s="71"/>
      <c r="C170" s="71"/>
      <c r="D170" s="72">
        <f t="shared" si="35"/>
        <v>0</v>
      </c>
      <c r="E170" s="72">
        <f t="shared" si="36"/>
        <v>0</v>
      </c>
      <c r="F170" s="32">
        <f t="shared" si="37"/>
        <v>0</v>
      </c>
      <c r="G170" s="32">
        <f t="shared" si="38"/>
        <v>0</v>
      </c>
      <c r="H170" s="32">
        <f t="shared" si="39"/>
        <v>0</v>
      </c>
      <c r="I170" s="32">
        <f t="shared" si="40"/>
        <v>0</v>
      </c>
      <c r="J170" s="32">
        <f t="shared" si="41"/>
        <v>0</v>
      </c>
      <c r="K170" s="32">
        <f t="shared" si="42"/>
        <v>0</v>
      </c>
      <c r="L170" s="32">
        <f t="shared" si="43"/>
        <v>0</v>
      </c>
      <c r="M170" s="32">
        <f t="shared" ca="1" si="44"/>
        <v>7.4214468061546803E-3</v>
      </c>
      <c r="N170" s="32">
        <f t="shared" ca="1" si="45"/>
        <v>0</v>
      </c>
      <c r="O170" s="122">
        <f t="shared" ca="1" si="46"/>
        <v>0</v>
      </c>
      <c r="P170" s="32">
        <f t="shared" ca="1" si="47"/>
        <v>0</v>
      </c>
      <c r="Q170" s="32">
        <f t="shared" ca="1" si="48"/>
        <v>0</v>
      </c>
      <c r="R170" s="16">
        <f t="shared" ca="1" si="49"/>
        <v>-7.4214468061546803E-3</v>
      </c>
    </row>
    <row r="171" spans="1:18">
      <c r="A171" s="71"/>
      <c r="B171" s="71"/>
      <c r="C171" s="71"/>
      <c r="D171" s="72">
        <f t="shared" si="35"/>
        <v>0</v>
      </c>
      <c r="E171" s="72">
        <f t="shared" si="36"/>
        <v>0</v>
      </c>
      <c r="F171" s="32">
        <f t="shared" si="37"/>
        <v>0</v>
      </c>
      <c r="G171" s="32">
        <f t="shared" si="38"/>
        <v>0</v>
      </c>
      <c r="H171" s="32">
        <f t="shared" si="39"/>
        <v>0</v>
      </c>
      <c r="I171" s="32">
        <f t="shared" si="40"/>
        <v>0</v>
      </c>
      <c r="J171" s="32">
        <f t="shared" si="41"/>
        <v>0</v>
      </c>
      <c r="K171" s="32">
        <f t="shared" si="42"/>
        <v>0</v>
      </c>
      <c r="L171" s="32">
        <f t="shared" si="43"/>
        <v>0</v>
      </c>
      <c r="M171" s="32">
        <f t="shared" ca="1" si="44"/>
        <v>7.4214468061546803E-3</v>
      </c>
      <c r="N171" s="32">
        <f t="shared" ca="1" si="45"/>
        <v>0</v>
      </c>
      <c r="O171" s="122">
        <f t="shared" ca="1" si="46"/>
        <v>0</v>
      </c>
      <c r="P171" s="32">
        <f t="shared" ca="1" si="47"/>
        <v>0</v>
      </c>
      <c r="Q171" s="32">
        <f t="shared" ca="1" si="48"/>
        <v>0</v>
      </c>
      <c r="R171" s="16">
        <f t="shared" ca="1" si="49"/>
        <v>-7.4214468061546803E-3</v>
      </c>
    </row>
    <row r="172" spans="1:18">
      <c r="A172" s="71"/>
      <c r="B172" s="71"/>
      <c r="C172" s="71"/>
      <c r="D172" s="72">
        <f t="shared" si="35"/>
        <v>0</v>
      </c>
      <c r="E172" s="72">
        <f t="shared" si="36"/>
        <v>0</v>
      </c>
      <c r="F172" s="32">
        <f t="shared" si="37"/>
        <v>0</v>
      </c>
      <c r="G172" s="32">
        <f t="shared" si="38"/>
        <v>0</v>
      </c>
      <c r="H172" s="32">
        <f t="shared" si="39"/>
        <v>0</v>
      </c>
      <c r="I172" s="32">
        <f t="shared" si="40"/>
        <v>0</v>
      </c>
      <c r="J172" s="32">
        <f t="shared" si="41"/>
        <v>0</v>
      </c>
      <c r="K172" s="32">
        <f t="shared" si="42"/>
        <v>0</v>
      </c>
      <c r="L172" s="32">
        <f t="shared" si="43"/>
        <v>0</v>
      </c>
      <c r="M172" s="32">
        <f t="shared" ca="1" si="44"/>
        <v>7.4214468061546803E-3</v>
      </c>
      <c r="N172" s="32">
        <f t="shared" ca="1" si="45"/>
        <v>0</v>
      </c>
      <c r="O172" s="122">
        <f t="shared" ca="1" si="46"/>
        <v>0</v>
      </c>
      <c r="P172" s="32">
        <f t="shared" ca="1" si="47"/>
        <v>0</v>
      </c>
      <c r="Q172" s="32">
        <f t="shared" ca="1" si="48"/>
        <v>0</v>
      </c>
      <c r="R172" s="16">
        <f t="shared" ca="1" si="49"/>
        <v>-7.4214468061546803E-3</v>
      </c>
    </row>
    <row r="173" spans="1:18">
      <c r="A173" s="71"/>
      <c r="B173" s="71"/>
      <c r="C173" s="71"/>
      <c r="D173" s="72">
        <f t="shared" si="35"/>
        <v>0</v>
      </c>
      <c r="E173" s="72">
        <f t="shared" si="36"/>
        <v>0</v>
      </c>
      <c r="F173" s="32">
        <f t="shared" si="37"/>
        <v>0</v>
      </c>
      <c r="G173" s="32">
        <f t="shared" si="38"/>
        <v>0</v>
      </c>
      <c r="H173" s="32">
        <f t="shared" si="39"/>
        <v>0</v>
      </c>
      <c r="I173" s="32">
        <f t="shared" si="40"/>
        <v>0</v>
      </c>
      <c r="J173" s="32">
        <f t="shared" si="41"/>
        <v>0</v>
      </c>
      <c r="K173" s="32">
        <f t="shared" si="42"/>
        <v>0</v>
      </c>
      <c r="L173" s="32">
        <f t="shared" si="43"/>
        <v>0</v>
      </c>
      <c r="M173" s="32">
        <f t="shared" ca="1" si="44"/>
        <v>7.4214468061546803E-3</v>
      </c>
      <c r="N173" s="32">
        <f t="shared" ca="1" si="45"/>
        <v>0</v>
      </c>
      <c r="O173" s="122">
        <f t="shared" ca="1" si="46"/>
        <v>0</v>
      </c>
      <c r="P173" s="32">
        <f t="shared" ca="1" si="47"/>
        <v>0</v>
      </c>
      <c r="Q173" s="32">
        <f t="shared" ca="1" si="48"/>
        <v>0</v>
      </c>
      <c r="R173" s="16">
        <f t="shared" ca="1" si="49"/>
        <v>-7.4214468061546803E-3</v>
      </c>
    </row>
    <row r="174" spans="1:18">
      <c r="A174" s="71"/>
      <c r="B174" s="71"/>
      <c r="C174" s="71"/>
      <c r="D174" s="72">
        <f t="shared" si="35"/>
        <v>0</v>
      </c>
      <c r="E174" s="72">
        <f t="shared" si="36"/>
        <v>0</v>
      </c>
      <c r="F174" s="32">
        <f t="shared" si="37"/>
        <v>0</v>
      </c>
      <c r="G174" s="32">
        <f t="shared" si="38"/>
        <v>0</v>
      </c>
      <c r="H174" s="32">
        <f t="shared" si="39"/>
        <v>0</v>
      </c>
      <c r="I174" s="32">
        <f t="shared" si="40"/>
        <v>0</v>
      </c>
      <c r="J174" s="32">
        <f t="shared" si="41"/>
        <v>0</v>
      </c>
      <c r="K174" s="32">
        <f t="shared" si="42"/>
        <v>0</v>
      </c>
      <c r="L174" s="32">
        <f t="shared" si="43"/>
        <v>0</v>
      </c>
      <c r="M174" s="32">
        <f t="shared" ca="1" si="44"/>
        <v>7.4214468061546803E-3</v>
      </c>
      <c r="N174" s="32">
        <f t="shared" ca="1" si="45"/>
        <v>0</v>
      </c>
      <c r="O174" s="122">
        <f t="shared" ca="1" si="46"/>
        <v>0</v>
      </c>
      <c r="P174" s="32">
        <f t="shared" ca="1" si="47"/>
        <v>0</v>
      </c>
      <c r="Q174" s="32">
        <f t="shared" ca="1" si="48"/>
        <v>0</v>
      </c>
      <c r="R174" s="16">
        <f t="shared" ca="1" si="49"/>
        <v>-7.4214468061546803E-3</v>
      </c>
    </row>
    <row r="175" spans="1:18">
      <c r="A175" s="71"/>
      <c r="B175" s="71"/>
      <c r="C175" s="71"/>
      <c r="D175" s="72">
        <f t="shared" si="35"/>
        <v>0</v>
      </c>
      <c r="E175" s="72">
        <f t="shared" si="36"/>
        <v>0</v>
      </c>
      <c r="F175" s="32">
        <f t="shared" si="37"/>
        <v>0</v>
      </c>
      <c r="G175" s="32">
        <f t="shared" si="38"/>
        <v>0</v>
      </c>
      <c r="H175" s="32">
        <f t="shared" si="39"/>
        <v>0</v>
      </c>
      <c r="I175" s="32">
        <f t="shared" si="40"/>
        <v>0</v>
      </c>
      <c r="J175" s="32">
        <f t="shared" si="41"/>
        <v>0</v>
      </c>
      <c r="K175" s="32">
        <f t="shared" si="42"/>
        <v>0</v>
      </c>
      <c r="L175" s="32">
        <f t="shared" si="43"/>
        <v>0</v>
      </c>
      <c r="M175" s="32">
        <f t="shared" ca="1" si="44"/>
        <v>7.4214468061546803E-3</v>
      </c>
      <c r="N175" s="32">
        <f t="shared" ca="1" si="45"/>
        <v>0</v>
      </c>
      <c r="O175" s="122">
        <f t="shared" ca="1" si="46"/>
        <v>0</v>
      </c>
      <c r="P175" s="32">
        <f t="shared" ca="1" si="47"/>
        <v>0</v>
      </c>
      <c r="Q175" s="32">
        <f t="shared" ca="1" si="48"/>
        <v>0</v>
      </c>
      <c r="R175" s="16">
        <f t="shared" ca="1" si="49"/>
        <v>-7.4214468061546803E-3</v>
      </c>
    </row>
    <row r="176" spans="1:18">
      <c r="A176" s="71"/>
      <c r="B176" s="71"/>
      <c r="C176" s="71"/>
      <c r="D176" s="72">
        <f t="shared" si="35"/>
        <v>0</v>
      </c>
      <c r="E176" s="72">
        <f t="shared" si="36"/>
        <v>0</v>
      </c>
      <c r="F176" s="32">
        <f t="shared" si="37"/>
        <v>0</v>
      </c>
      <c r="G176" s="32">
        <f t="shared" si="38"/>
        <v>0</v>
      </c>
      <c r="H176" s="32">
        <f t="shared" si="39"/>
        <v>0</v>
      </c>
      <c r="I176" s="32">
        <f t="shared" si="40"/>
        <v>0</v>
      </c>
      <c r="J176" s="32">
        <f t="shared" si="41"/>
        <v>0</v>
      </c>
      <c r="K176" s="32">
        <f t="shared" si="42"/>
        <v>0</v>
      </c>
      <c r="L176" s="32">
        <f t="shared" si="43"/>
        <v>0</v>
      </c>
      <c r="M176" s="32">
        <f t="shared" ca="1" si="44"/>
        <v>7.4214468061546803E-3</v>
      </c>
      <c r="N176" s="32">
        <f t="shared" ca="1" si="45"/>
        <v>0</v>
      </c>
      <c r="O176" s="122">
        <f t="shared" ca="1" si="46"/>
        <v>0</v>
      </c>
      <c r="P176" s="32">
        <f t="shared" ca="1" si="47"/>
        <v>0</v>
      </c>
      <c r="Q176" s="32">
        <f t="shared" ca="1" si="48"/>
        <v>0</v>
      </c>
      <c r="R176" s="16">
        <f t="shared" ca="1" si="49"/>
        <v>-7.4214468061546803E-3</v>
      </c>
    </row>
    <row r="177" spans="1:18">
      <c r="A177" s="71"/>
      <c r="B177" s="71"/>
      <c r="C177" s="71"/>
      <c r="D177" s="72">
        <f t="shared" si="35"/>
        <v>0</v>
      </c>
      <c r="E177" s="72">
        <f t="shared" si="36"/>
        <v>0</v>
      </c>
      <c r="F177" s="32">
        <f t="shared" si="37"/>
        <v>0</v>
      </c>
      <c r="G177" s="32">
        <f t="shared" si="38"/>
        <v>0</v>
      </c>
      <c r="H177" s="32">
        <f t="shared" si="39"/>
        <v>0</v>
      </c>
      <c r="I177" s="32">
        <f t="shared" si="40"/>
        <v>0</v>
      </c>
      <c r="J177" s="32">
        <f t="shared" si="41"/>
        <v>0</v>
      </c>
      <c r="K177" s="32">
        <f t="shared" si="42"/>
        <v>0</v>
      </c>
      <c r="L177" s="32">
        <f t="shared" si="43"/>
        <v>0</v>
      </c>
      <c r="M177" s="32">
        <f t="shared" ca="1" si="44"/>
        <v>7.4214468061546803E-3</v>
      </c>
      <c r="N177" s="32">
        <f t="shared" ca="1" si="45"/>
        <v>0</v>
      </c>
      <c r="O177" s="122">
        <f t="shared" ca="1" si="46"/>
        <v>0</v>
      </c>
      <c r="P177" s="32">
        <f t="shared" ca="1" si="47"/>
        <v>0</v>
      </c>
      <c r="Q177" s="32">
        <f t="shared" ca="1" si="48"/>
        <v>0</v>
      </c>
      <c r="R177" s="16">
        <f t="shared" ca="1" si="49"/>
        <v>-7.4214468061546803E-3</v>
      </c>
    </row>
    <row r="178" spans="1:18">
      <c r="A178" s="71"/>
      <c r="B178" s="71"/>
      <c r="C178" s="71"/>
      <c r="D178" s="72">
        <f t="shared" si="35"/>
        <v>0</v>
      </c>
      <c r="E178" s="72">
        <f t="shared" si="36"/>
        <v>0</v>
      </c>
      <c r="F178" s="32">
        <f t="shared" si="37"/>
        <v>0</v>
      </c>
      <c r="G178" s="32">
        <f t="shared" si="38"/>
        <v>0</v>
      </c>
      <c r="H178" s="32">
        <f t="shared" si="39"/>
        <v>0</v>
      </c>
      <c r="I178" s="32">
        <f t="shared" si="40"/>
        <v>0</v>
      </c>
      <c r="J178" s="32">
        <f t="shared" si="41"/>
        <v>0</v>
      </c>
      <c r="K178" s="32">
        <f t="shared" si="42"/>
        <v>0</v>
      </c>
      <c r="L178" s="32">
        <f t="shared" si="43"/>
        <v>0</v>
      </c>
      <c r="M178" s="32">
        <f t="shared" ca="1" si="44"/>
        <v>7.4214468061546803E-3</v>
      </c>
      <c r="N178" s="32">
        <f t="shared" ca="1" si="45"/>
        <v>0</v>
      </c>
      <c r="O178" s="122">
        <f t="shared" ca="1" si="46"/>
        <v>0</v>
      </c>
      <c r="P178" s="32">
        <f t="shared" ca="1" si="47"/>
        <v>0</v>
      </c>
      <c r="Q178" s="32">
        <f t="shared" ca="1" si="48"/>
        <v>0</v>
      </c>
      <c r="R178" s="16">
        <f t="shared" ca="1" si="49"/>
        <v>-7.4214468061546803E-3</v>
      </c>
    </row>
    <row r="179" spans="1:18">
      <c r="A179" s="71"/>
      <c r="B179" s="71"/>
      <c r="C179" s="71"/>
      <c r="D179" s="72">
        <f t="shared" si="35"/>
        <v>0</v>
      </c>
      <c r="E179" s="72">
        <f t="shared" si="36"/>
        <v>0</v>
      </c>
      <c r="F179" s="32">
        <f t="shared" si="37"/>
        <v>0</v>
      </c>
      <c r="G179" s="32">
        <f t="shared" si="38"/>
        <v>0</v>
      </c>
      <c r="H179" s="32">
        <f t="shared" si="39"/>
        <v>0</v>
      </c>
      <c r="I179" s="32">
        <f t="shared" si="40"/>
        <v>0</v>
      </c>
      <c r="J179" s="32">
        <f t="shared" si="41"/>
        <v>0</v>
      </c>
      <c r="K179" s="32">
        <f t="shared" si="42"/>
        <v>0</v>
      </c>
      <c r="L179" s="32">
        <f t="shared" si="43"/>
        <v>0</v>
      </c>
      <c r="M179" s="32">
        <f t="shared" ca="1" si="44"/>
        <v>7.4214468061546803E-3</v>
      </c>
      <c r="N179" s="32">
        <f t="shared" ca="1" si="45"/>
        <v>0</v>
      </c>
      <c r="O179" s="122">
        <f t="shared" ca="1" si="46"/>
        <v>0</v>
      </c>
      <c r="P179" s="32">
        <f t="shared" ca="1" si="47"/>
        <v>0</v>
      </c>
      <c r="Q179" s="32">
        <f t="shared" ca="1" si="48"/>
        <v>0</v>
      </c>
      <c r="R179" s="16">
        <f t="shared" ca="1" si="49"/>
        <v>-7.4214468061546803E-3</v>
      </c>
    </row>
    <row r="180" spans="1:18">
      <c r="A180" s="71"/>
      <c r="B180" s="71"/>
      <c r="C180" s="71"/>
      <c r="D180" s="72">
        <f t="shared" si="35"/>
        <v>0</v>
      </c>
      <c r="E180" s="72">
        <f t="shared" si="36"/>
        <v>0</v>
      </c>
      <c r="F180" s="32">
        <f t="shared" si="37"/>
        <v>0</v>
      </c>
      <c r="G180" s="32">
        <f t="shared" si="38"/>
        <v>0</v>
      </c>
      <c r="H180" s="32">
        <f t="shared" si="39"/>
        <v>0</v>
      </c>
      <c r="I180" s="32">
        <f t="shared" si="40"/>
        <v>0</v>
      </c>
      <c r="J180" s="32">
        <f t="shared" si="41"/>
        <v>0</v>
      </c>
      <c r="K180" s="32">
        <f t="shared" si="42"/>
        <v>0</v>
      </c>
      <c r="L180" s="32">
        <f t="shared" si="43"/>
        <v>0</v>
      </c>
      <c r="M180" s="32">
        <f t="shared" ca="1" si="44"/>
        <v>7.4214468061546803E-3</v>
      </c>
      <c r="N180" s="32">
        <f t="shared" ca="1" si="45"/>
        <v>0</v>
      </c>
      <c r="O180" s="122">
        <f t="shared" ca="1" si="46"/>
        <v>0</v>
      </c>
      <c r="P180" s="32">
        <f t="shared" ca="1" si="47"/>
        <v>0</v>
      </c>
      <c r="Q180" s="32">
        <f t="shared" ca="1" si="48"/>
        <v>0</v>
      </c>
      <c r="R180" s="16">
        <f t="shared" ca="1" si="49"/>
        <v>-7.4214468061546803E-3</v>
      </c>
    </row>
    <row r="181" spans="1:18">
      <c r="A181" s="71"/>
      <c r="B181" s="71"/>
      <c r="C181" s="71"/>
      <c r="D181" s="72">
        <f t="shared" si="35"/>
        <v>0</v>
      </c>
      <c r="E181" s="72">
        <f t="shared" si="36"/>
        <v>0</v>
      </c>
      <c r="F181" s="32">
        <f t="shared" si="37"/>
        <v>0</v>
      </c>
      <c r="G181" s="32">
        <f t="shared" si="38"/>
        <v>0</v>
      </c>
      <c r="H181" s="32">
        <f t="shared" si="39"/>
        <v>0</v>
      </c>
      <c r="I181" s="32">
        <f t="shared" si="40"/>
        <v>0</v>
      </c>
      <c r="J181" s="32">
        <f t="shared" si="41"/>
        <v>0</v>
      </c>
      <c r="K181" s="32">
        <f t="shared" si="42"/>
        <v>0</v>
      </c>
      <c r="L181" s="32">
        <f t="shared" si="43"/>
        <v>0</v>
      </c>
      <c r="M181" s="32">
        <f t="shared" ca="1" si="44"/>
        <v>7.4214468061546803E-3</v>
      </c>
      <c r="N181" s="32">
        <f t="shared" ca="1" si="45"/>
        <v>0</v>
      </c>
      <c r="O181" s="122">
        <f t="shared" ca="1" si="46"/>
        <v>0</v>
      </c>
      <c r="P181" s="32">
        <f t="shared" ca="1" si="47"/>
        <v>0</v>
      </c>
      <c r="Q181" s="32">
        <f t="shared" ca="1" si="48"/>
        <v>0</v>
      </c>
      <c r="R181" s="16">
        <f t="shared" ca="1" si="49"/>
        <v>-7.4214468061546803E-3</v>
      </c>
    </row>
    <row r="182" spans="1:18">
      <c r="A182" s="71"/>
      <c r="B182" s="71"/>
      <c r="C182" s="71"/>
      <c r="D182" s="72">
        <f t="shared" si="35"/>
        <v>0</v>
      </c>
      <c r="E182" s="72">
        <f t="shared" si="36"/>
        <v>0</v>
      </c>
      <c r="F182" s="32">
        <f t="shared" si="37"/>
        <v>0</v>
      </c>
      <c r="G182" s="32">
        <f t="shared" si="38"/>
        <v>0</v>
      </c>
      <c r="H182" s="32">
        <f t="shared" si="39"/>
        <v>0</v>
      </c>
      <c r="I182" s="32">
        <f t="shared" si="40"/>
        <v>0</v>
      </c>
      <c r="J182" s="32">
        <f t="shared" si="41"/>
        <v>0</v>
      </c>
      <c r="K182" s="32">
        <f t="shared" si="42"/>
        <v>0</v>
      </c>
      <c r="L182" s="32">
        <f t="shared" si="43"/>
        <v>0</v>
      </c>
      <c r="M182" s="32">
        <f t="shared" ca="1" si="44"/>
        <v>7.4214468061546803E-3</v>
      </c>
      <c r="N182" s="32">
        <f t="shared" ca="1" si="45"/>
        <v>0</v>
      </c>
      <c r="O182" s="122">
        <f t="shared" ca="1" si="46"/>
        <v>0</v>
      </c>
      <c r="P182" s="32">
        <f t="shared" ca="1" si="47"/>
        <v>0</v>
      </c>
      <c r="Q182" s="32">
        <f t="shared" ca="1" si="48"/>
        <v>0</v>
      </c>
      <c r="R182" s="16">
        <f t="shared" ca="1" si="49"/>
        <v>-7.4214468061546803E-3</v>
      </c>
    </row>
    <row r="183" spans="1:18">
      <c r="A183" s="71"/>
      <c r="B183" s="71"/>
      <c r="C183" s="71"/>
      <c r="D183" s="72">
        <f t="shared" si="35"/>
        <v>0</v>
      </c>
      <c r="E183" s="72">
        <f t="shared" si="36"/>
        <v>0</v>
      </c>
      <c r="F183" s="32">
        <f t="shared" si="37"/>
        <v>0</v>
      </c>
      <c r="G183" s="32">
        <f t="shared" si="38"/>
        <v>0</v>
      </c>
      <c r="H183" s="32">
        <f t="shared" si="39"/>
        <v>0</v>
      </c>
      <c r="I183" s="32">
        <f t="shared" si="40"/>
        <v>0</v>
      </c>
      <c r="J183" s="32">
        <f t="shared" si="41"/>
        <v>0</v>
      </c>
      <c r="K183" s="32">
        <f t="shared" si="42"/>
        <v>0</v>
      </c>
      <c r="L183" s="32">
        <f t="shared" si="43"/>
        <v>0</v>
      </c>
      <c r="M183" s="32">
        <f t="shared" ca="1" si="44"/>
        <v>7.4214468061546803E-3</v>
      </c>
      <c r="N183" s="32">
        <f t="shared" ca="1" si="45"/>
        <v>0</v>
      </c>
      <c r="O183" s="122">
        <f t="shared" ca="1" si="46"/>
        <v>0</v>
      </c>
      <c r="P183" s="32">
        <f t="shared" ca="1" si="47"/>
        <v>0</v>
      </c>
      <c r="Q183" s="32">
        <f t="shared" ca="1" si="48"/>
        <v>0</v>
      </c>
      <c r="R183" s="16">
        <f t="shared" ca="1" si="49"/>
        <v>-7.4214468061546803E-3</v>
      </c>
    </row>
    <row r="184" spans="1:18">
      <c r="A184" s="71"/>
      <c r="B184" s="71"/>
      <c r="C184" s="71"/>
      <c r="D184" s="72">
        <f t="shared" si="35"/>
        <v>0</v>
      </c>
      <c r="E184" s="72">
        <f t="shared" si="36"/>
        <v>0</v>
      </c>
      <c r="F184" s="32">
        <f t="shared" si="37"/>
        <v>0</v>
      </c>
      <c r="G184" s="32">
        <f t="shared" si="38"/>
        <v>0</v>
      </c>
      <c r="H184" s="32">
        <f t="shared" si="39"/>
        <v>0</v>
      </c>
      <c r="I184" s="32">
        <f t="shared" si="40"/>
        <v>0</v>
      </c>
      <c r="J184" s="32">
        <f t="shared" si="41"/>
        <v>0</v>
      </c>
      <c r="K184" s="32">
        <f t="shared" si="42"/>
        <v>0</v>
      </c>
      <c r="L184" s="32">
        <f t="shared" si="43"/>
        <v>0</v>
      </c>
      <c r="M184" s="32">
        <f t="shared" ca="1" si="44"/>
        <v>7.4214468061546803E-3</v>
      </c>
      <c r="N184" s="32">
        <f t="shared" ca="1" si="45"/>
        <v>0</v>
      </c>
      <c r="O184" s="122">
        <f t="shared" ca="1" si="46"/>
        <v>0</v>
      </c>
      <c r="P184" s="32">
        <f t="shared" ca="1" si="47"/>
        <v>0</v>
      </c>
      <c r="Q184" s="32">
        <f t="shared" ca="1" si="48"/>
        <v>0</v>
      </c>
      <c r="R184" s="16">
        <f t="shared" ca="1" si="49"/>
        <v>-7.4214468061546803E-3</v>
      </c>
    </row>
    <row r="185" spans="1:18">
      <c r="A185" s="71"/>
      <c r="B185" s="71"/>
      <c r="C185" s="71"/>
      <c r="D185" s="72">
        <f t="shared" si="35"/>
        <v>0</v>
      </c>
      <c r="E185" s="72">
        <f t="shared" si="36"/>
        <v>0</v>
      </c>
      <c r="F185" s="32">
        <f t="shared" si="37"/>
        <v>0</v>
      </c>
      <c r="G185" s="32">
        <f t="shared" si="38"/>
        <v>0</v>
      </c>
      <c r="H185" s="32">
        <f t="shared" si="39"/>
        <v>0</v>
      </c>
      <c r="I185" s="32">
        <f t="shared" si="40"/>
        <v>0</v>
      </c>
      <c r="J185" s="32">
        <f t="shared" si="41"/>
        <v>0</v>
      </c>
      <c r="K185" s="32">
        <f t="shared" si="42"/>
        <v>0</v>
      </c>
      <c r="L185" s="32">
        <f t="shared" si="43"/>
        <v>0</v>
      </c>
      <c r="M185" s="32">
        <f t="shared" ca="1" si="44"/>
        <v>7.4214468061546803E-3</v>
      </c>
      <c r="N185" s="32">
        <f t="shared" ca="1" si="45"/>
        <v>0</v>
      </c>
      <c r="O185" s="122">
        <f t="shared" ca="1" si="46"/>
        <v>0</v>
      </c>
      <c r="P185" s="32">
        <f t="shared" ca="1" si="47"/>
        <v>0</v>
      </c>
      <c r="Q185" s="32">
        <f t="shared" ca="1" si="48"/>
        <v>0</v>
      </c>
      <c r="R185" s="16">
        <f t="shared" ca="1" si="49"/>
        <v>-7.4214468061546803E-3</v>
      </c>
    </row>
    <row r="186" spans="1:18">
      <c r="A186" s="71"/>
      <c r="B186" s="71"/>
      <c r="C186" s="71"/>
      <c r="D186" s="72">
        <f t="shared" si="35"/>
        <v>0</v>
      </c>
      <c r="E186" s="72">
        <f t="shared" si="36"/>
        <v>0</v>
      </c>
      <c r="F186" s="32">
        <f t="shared" si="37"/>
        <v>0</v>
      </c>
      <c r="G186" s="32">
        <f t="shared" si="38"/>
        <v>0</v>
      </c>
      <c r="H186" s="32">
        <f t="shared" si="39"/>
        <v>0</v>
      </c>
      <c r="I186" s="32">
        <f t="shared" si="40"/>
        <v>0</v>
      </c>
      <c r="J186" s="32">
        <f t="shared" si="41"/>
        <v>0</v>
      </c>
      <c r="K186" s="32">
        <f t="shared" si="42"/>
        <v>0</v>
      </c>
      <c r="L186" s="32">
        <f t="shared" si="43"/>
        <v>0</v>
      </c>
      <c r="M186" s="32">
        <f t="shared" ca="1" si="44"/>
        <v>7.4214468061546803E-3</v>
      </c>
      <c r="N186" s="32">
        <f t="shared" ca="1" si="45"/>
        <v>0</v>
      </c>
      <c r="O186" s="122">
        <f t="shared" ca="1" si="46"/>
        <v>0</v>
      </c>
      <c r="P186" s="32">
        <f t="shared" ca="1" si="47"/>
        <v>0</v>
      </c>
      <c r="Q186" s="32">
        <f t="shared" ca="1" si="48"/>
        <v>0</v>
      </c>
      <c r="R186" s="16">
        <f t="shared" ca="1" si="49"/>
        <v>-7.4214468061546803E-3</v>
      </c>
    </row>
    <row r="187" spans="1:18">
      <c r="A187" s="71"/>
      <c r="B187" s="71"/>
      <c r="C187" s="71"/>
      <c r="D187" s="72">
        <f t="shared" si="35"/>
        <v>0</v>
      </c>
      <c r="E187" s="72">
        <f t="shared" si="36"/>
        <v>0</v>
      </c>
      <c r="F187" s="32">
        <f t="shared" si="37"/>
        <v>0</v>
      </c>
      <c r="G187" s="32">
        <f t="shared" si="38"/>
        <v>0</v>
      </c>
      <c r="H187" s="32">
        <f t="shared" si="39"/>
        <v>0</v>
      </c>
      <c r="I187" s="32">
        <f t="shared" si="40"/>
        <v>0</v>
      </c>
      <c r="J187" s="32">
        <f t="shared" si="41"/>
        <v>0</v>
      </c>
      <c r="K187" s="32">
        <f t="shared" si="42"/>
        <v>0</v>
      </c>
      <c r="L187" s="32">
        <f t="shared" si="43"/>
        <v>0</v>
      </c>
      <c r="M187" s="32">
        <f t="shared" ca="1" si="44"/>
        <v>7.4214468061546803E-3</v>
      </c>
      <c r="N187" s="32">
        <f t="shared" ca="1" si="45"/>
        <v>0</v>
      </c>
      <c r="O187" s="122">
        <f t="shared" ca="1" si="46"/>
        <v>0</v>
      </c>
      <c r="P187" s="32">
        <f t="shared" ca="1" si="47"/>
        <v>0</v>
      </c>
      <c r="Q187" s="32">
        <f t="shared" ca="1" si="48"/>
        <v>0</v>
      </c>
      <c r="R187" s="16">
        <f t="shared" ca="1" si="49"/>
        <v>-7.4214468061546803E-3</v>
      </c>
    </row>
    <row r="188" spans="1:18">
      <c r="A188" s="71"/>
      <c r="B188" s="71"/>
      <c r="C188" s="71"/>
      <c r="D188" s="72">
        <f t="shared" si="35"/>
        <v>0</v>
      </c>
      <c r="E188" s="72">
        <f t="shared" si="36"/>
        <v>0</v>
      </c>
      <c r="F188" s="32">
        <f t="shared" si="37"/>
        <v>0</v>
      </c>
      <c r="G188" s="32">
        <f t="shared" si="38"/>
        <v>0</v>
      </c>
      <c r="H188" s="32">
        <f t="shared" si="39"/>
        <v>0</v>
      </c>
      <c r="I188" s="32">
        <f t="shared" si="40"/>
        <v>0</v>
      </c>
      <c r="J188" s="32">
        <f t="shared" si="41"/>
        <v>0</v>
      </c>
      <c r="K188" s="32">
        <f t="shared" si="42"/>
        <v>0</v>
      </c>
      <c r="L188" s="32">
        <f t="shared" si="43"/>
        <v>0</v>
      </c>
      <c r="M188" s="32">
        <f t="shared" ca="1" si="44"/>
        <v>7.4214468061546803E-3</v>
      </c>
      <c r="N188" s="32">
        <f t="shared" ca="1" si="45"/>
        <v>0</v>
      </c>
      <c r="O188" s="122">
        <f t="shared" ca="1" si="46"/>
        <v>0</v>
      </c>
      <c r="P188" s="32">
        <f t="shared" ca="1" si="47"/>
        <v>0</v>
      </c>
      <c r="Q188" s="32">
        <f t="shared" ca="1" si="48"/>
        <v>0</v>
      </c>
      <c r="R188" s="16">
        <f t="shared" ca="1" si="49"/>
        <v>-7.4214468061546803E-3</v>
      </c>
    </row>
    <row r="189" spans="1:18">
      <c r="A189" s="71"/>
      <c r="B189" s="71"/>
      <c r="C189" s="71"/>
      <c r="D189" s="72">
        <f t="shared" si="35"/>
        <v>0</v>
      </c>
      <c r="E189" s="72">
        <f t="shared" si="36"/>
        <v>0</v>
      </c>
      <c r="F189" s="32">
        <f t="shared" si="37"/>
        <v>0</v>
      </c>
      <c r="G189" s="32">
        <f t="shared" si="38"/>
        <v>0</v>
      </c>
      <c r="H189" s="32">
        <f t="shared" si="39"/>
        <v>0</v>
      </c>
      <c r="I189" s="32">
        <f t="shared" si="40"/>
        <v>0</v>
      </c>
      <c r="J189" s="32">
        <f t="shared" si="41"/>
        <v>0</v>
      </c>
      <c r="K189" s="32">
        <f t="shared" si="42"/>
        <v>0</v>
      </c>
      <c r="L189" s="32">
        <f t="shared" si="43"/>
        <v>0</v>
      </c>
      <c r="M189" s="32">
        <f t="shared" ca="1" si="44"/>
        <v>7.4214468061546803E-3</v>
      </c>
      <c r="N189" s="32">
        <f t="shared" ca="1" si="45"/>
        <v>0</v>
      </c>
      <c r="O189" s="122">
        <f t="shared" ca="1" si="46"/>
        <v>0</v>
      </c>
      <c r="P189" s="32">
        <f t="shared" ca="1" si="47"/>
        <v>0</v>
      </c>
      <c r="Q189" s="32">
        <f t="shared" ca="1" si="48"/>
        <v>0</v>
      </c>
      <c r="R189" s="16">
        <f t="shared" ca="1" si="49"/>
        <v>-7.4214468061546803E-3</v>
      </c>
    </row>
    <row r="190" spans="1:18">
      <c r="A190" s="71"/>
      <c r="B190" s="71"/>
      <c r="C190" s="71"/>
      <c r="D190" s="72">
        <f t="shared" si="35"/>
        <v>0</v>
      </c>
      <c r="E190" s="72">
        <f t="shared" si="36"/>
        <v>0</v>
      </c>
      <c r="F190" s="32">
        <f t="shared" si="37"/>
        <v>0</v>
      </c>
      <c r="G190" s="32">
        <f t="shared" si="38"/>
        <v>0</v>
      </c>
      <c r="H190" s="32">
        <f t="shared" si="39"/>
        <v>0</v>
      </c>
      <c r="I190" s="32">
        <f t="shared" si="40"/>
        <v>0</v>
      </c>
      <c r="J190" s="32">
        <f t="shared" si="41"/>
        <v>0</v>
      </c>
      <c r="K190" s="32">
        <f t="shared" si="42"/>
        <v>0</v>
      </c>
      <c r="L190" s="32">
        <f t="shared" si="43"/>
        <v>0</v>
      </c>
      <c r="M190" s="32">
        <f t="shared" ca="1" si="44"/>
        <v>7.4214468061546803E-3</v>
      </c>
      <c r="N190" s="32">
        <f t="shared" ca="1" si="45"/>
        <v>0</v>
      </c>
      <c r="O190" s="122">
        <f t="shared" ca="1" si="46"/>
        <v>0</v>
      </c>
      <c r="P190" s="32">
        <f t="shared" ca="1" si="47"/>
        <v>0</v>
      </c>
      <c r="Q190" s="32">
        <f t="shared" ca="1" si="48"/>
        <v>0</v>
      </c>
      <c r="R190" s="16">
        <f t="shared" ca="1" si="49"/>
        <v>-7.4214468061546803E-3</v>
      </c>
    </row>
    <row r="191" spans="1:18">
      <c r="A191" s="71"/>
      <c r="B191" s="71"/>
      <c r="C191" s="71"/>
      <c r="D191" s="72">
        <f t="shared" si="35"/>
        <v>0</v>
      </c>
      <c r="E191" s="72">
        <f t="shared" si="36"/>
        <v>0</v>
      </c>
      <c r="F191" s="32">
        <f t="shared" si="37"/>
        <v>0</v>
      </c>
      <c r="G191" s="32">
        <f t="shared" si="38"/>
        <v>0</v>
      </c>
      <c r="H191" s="32">
        <f t="shared" si="39"/>
        <v>0</v>
      </c>
      <c r="I191" s="32">
        <f t="shared" si="40"/>
        <v>0</v>
      </c>
      <c r="J191" s="32">
        <f t="shared" si="41"/>
        <v>0</v>
      </c>
      <c r="K191" s="32">
        <f t="shared" si="42"/>
        <v>0</v>
      </c>
      <c r="L191" s="32">
        <f t="shared" si="43"/>
        <v>0</v>
      </c>
      <c r="M191" s="32">
        <f t="shared" ca="1" si="44"/>
        <v>7.4214468061546803E-3</v>
      </c>
      <c r="N191" s="32">
        <f t="shared" ca="1" si="45"/>
        <v>0</v>
      </c>
      <c r="O191" s="122">
        <f t="shared" ca="1" si="46"/>
        <v>0</v>
      </c>
      <c r="P191" s="32">
        <f t="shared" ca="1" si="47"/>
        <v>0</v>
      </c>
      <c r="Q191" s="32">
        <f t="shared" ca="1" si="48"/>
        <v>0</v>
      </c>
      <c r="R191" s="16">
        <f t="shared" ca="1" si="49"/>
        <v>-7.4214468061546803E-3</v>
      </c>
    </row>
    <row r="192" spans="1:18">
      <c r="A192" s="71"/>
      <c r="B192" s="71"/>
      <c r="C192" s="71"/>
      <c r="D192" s="72">
        <f t="shared" si="35"/>
        <v>0</v>
      </c>
      <c r="E192" s="72">
        <f t="shared" si="36"/>
        <v>0</v>
      </c>
      <c r="F192" s="32">
        <f t="shared" si="37"/>
        <v>0</v>
      </c>
      <c r="G192" s="32">
        <f t="shared" si="38"/>
        <v>0</v>
      </c>
      <c r="H192" s="32">
        <f t="shared" si="39"/>
        <v>0</v>
      </c>
      <c r="I192" s="32">
        <f t="shared" si="40"/>
        <v>0</v>
      </c>
      <c r="J192" s="32">
        <f t="shared" si="41"/>
        <v>0</v>
      </c>
      <c r="K192" s="32">
        <f t="shared" si="42"/>
        <v>0</v>
      </c>
      <c r="L192" s="32">
        <f t="shared" si="43"/>
        <v>0</v>
      </c>
      <c r="M192" s="32">
        <f t="shared" ca="1" si="44"/>
        <v>7.4214468061546803E-3</v>
      </c>
      <c r="N192" s="32">
        <f t="shared" ca="1" si="45"/>
        <v>0</v>
      </c>
      <c r="O192" s="122">
        <f t="shared" ca="1" si="46"/>
        <v>0</v>
      </c>
      <c r="P192" s="32">
        <f t="shared" ca="1" si="47"/>
        <v>0</v>
      </c>
      <c r="Q192" s="32">
        <f t="shared" ca="1" si="48"/>
        <v>0</v>
      </c>
      <c r="R192" s="16">
        <f t="shared" ca="1" si="49"/>
        <v>-7.4214468061546803E-3</v>
      </c>
    </row>
    <row r="193" spans="1:18">
      <c r="A193" s="71"/>
      <c r="B193" s="71"/>
      <c r="C193" s="71"/>
      <c r="D193" s="72">
        <f t="shared" si="35"/>
        <v>0</v>
      </c>
      <c r="E193" s="72">
        <f t="shared" si="36"/>
        <v>0</v>
      </c>
      <c r="F193" s="32">
        <f t="shared" si="37"/>
        <v>0</v>
      </c>
      <c r="G193" s="32">
        <f t="shared" si="38"/>
        <v>0</v>
      </c>
      <c r="H193" s="32">
        <f t="shared" si="39"/>
        <v>0</v>
      </c>
      <c r="I193" s="32">
        <f t="shared" si="40"/>
        <v>0</v>
      </c>
      <c r="J193" s="32">
        <f t="shared" si="41"/>
        <v>0</v>
      </c>
      <c r="K193" s="32">
        <f t="shared" si="42"/>
        <v>0</v>
      </c>
      <c r="L193" s="32">
        <f t="shared" si="43"/>
        <v>0</v>
      </c>
      <c r="M193" s="32">
        <f t="shared" ca="1" si="44"/>
        <v>7.4214468061546803E-3</v>
      </c>
      <c r="N193" s="32">
        <f t="shared" ca="1" si="45"/>
        <v>0</v>
      </c>
      <c r="O193" s="122">
        <f t="shared" ca="1" si="46"/>
        <v>0</v>
      </c>
      <c r="P193" s="32">
        <f t="shared" ca="1" si="47"/>
        <v>0</v>
      </c>
      <c r="Q193" s="32">
        <f t="shared" ca="1" si="48"/>
        <v>0</v>
      </c>
      <c r="R193" s="16">
        <f t="shared" ca="1" si="49"/>
        <v>-7.4214468061546803E-3</v>
      </c>
    </row>
    <row r="194" spans="1:18">
      <c r="A194" s="71"/>
      <c r="B194" s="71"/>
      <c r="C194" s="71"/>
      <c r="D194" s="72">
        <f t="shared" si="35"/>
        <v>0</v>
      </c>
      <c r="E194" s="72">
        <f t="shared" si="36"/>
        <v>0</v>
      </c>
      <c r="F194" s="32">
        <f t="shared" si="37"/>
        <v>0</v>
      </c>
      <c r="G194" s="32">
        <f t="shared" si="38"/>
        <v>0</v>
      </c>
      <c r="H194" s="32">
        <f t="shared" si="39"/>
        <v>0</v>
      </c>
      <c r="I194" s="32">
        <f t="shared" si="40"/>
        <v>0</v>
      </c>
      <c r="J194" s="32">
        <f t="shared" si="41"/>
        <v>0</v>
      </c>
      <c r="K194" s="32">
        <f t="shared" si="42"/>
        <v>0</v>
      </c>
      <c r="L194" s="32">
        <f t="shared" si="43"/>
        <v>0</v>
      </c>
      <c r="M194" s="32">
        <f t="shared" ca="1" si="44"/>
        <v>7.4214468061546803E-3</v>
      </c>
      <c r="N194" s="32">
        <f t="shared" ca="1" si="45"/>
        <v>0</v>
      </c>
      <c r="O194" s="122">
        <f t="shared" ca="1" si="46"/>
        <v>0</v>
      </c>
      <c r="P194" s="32">
        <f t="shared" ca="1" si="47"/>
        <v>0</v>
      </c>
      <c r="Q194" s="32">
        <f t="shared" ca="1" si="48"/>
        <v>0</v>
      </c>
      <c r="R194" s="16">
        <f t="shared" ca="1" si="49"/>
        <v>-7.4214468061546803E-3</v>
      </c>
    </row>
    <row r="195" spans="1:18">
      <c r="A195" s="71"/>
      <c r="B195" s="71"/>
      <c r="C195" s="71"/>
      <c r="D195" s="72">
        <f t="shared" si="35"/>
        <v>0</v>
      </c>
      <c r="E195" s="72">
        <f t="shared" si="36"/>
        <v>0</v>
      </c>
      <c r="F195" s="32">
        <f t="shared" si="37"/>
        <v>0</v>
      </c>
      <c r="G195" s="32">
        <f t="shared" si="38"/>
        <v>0</v>
      </c>
      <c r="H195" s="32">
        <f t="shared" si="39"/>
        <v>0</v>
      </c>
      <c r="I195" s="32">
        <f t="shared" si="40"/>
        <v>0</v>
      </c>
      <c r="J195" s="32">
        <f t="shared" si="41"/>
        <v>0</v>
      </c>
      <c r="K195" s="32">
        <f t="shared" si="42"/>
        <v>0</v>
      </c>
      <c r="L195" s="32">
        <f t="shared" si="43"/>
        <v>0</v>
      </c>
      <c r="M195" s="32">
        <f t="shared" ca="1" si="44"/>
        <v>7.4214468061546803E-3</v>
      </c>
      <c r="N195" s="32">
        <f t="shared" ca="1" si="45"/>
        <v>0</v>
      </c>
      <c r="O195" s="122">
        <f t="shared" ca="1" si="46"/>
        <v>0</v>
      </c>
      <c r="P195" s="32">
        <f t="shared" ca="1" si="47"/>
        <v>0</v>
      </c>
      <c r="Q195" s="32">
        <f t="shared" ca="1" si="48"/>
        <v>0</v>
      </c>
      <c r="R195" s="16">
        <f t="shared" ca="1" si="49"/>
        <v>-7.4214468061546803E-3</v>
      </c>
    </row>
    <row r="196" spans="1:18">
      <c r="A196" s="71"/>
      <c r="B196" s="71"/>
      <c r="C196" s="71"/>
      <c r="D196" s="72">
        <f t="shared" si="35"/>
        <v>0</v>
      </c>
      <c r="E196" s="72">
        <f t="shared" si="36"/>
        <v>0</v>
      </c>
      <c r="F196" s="32">
        <f t="shared" si="37"/>
        <v>0</v>
      </c>
      <c r="G196" s="32">
        <f t="shared" si="38"/>
        <v>0</v>
      </c>
      <c r="H196" s="32">
        <f t="shared" si="39"/>
        <v>0</v>
      </c>
      <c r="I196" s="32">
        <f t="shared" si="40"/>
        <v>0</v>
      </c>
      <c r="J196" s="32">
        <f t="shared" si="41"/>
        <v>0</v>
      </c>
      <c r="K196" s="32">
        <f t="shared" si="42"/>
        <v>0</v>
      </c>
      <c r="L196" s="32">
        <f t="shared" si="43"/>
        <v>0</v>
      </c>
      <c r="M196" s="32">
        <f t="shared" ca="1" si="44"/>
        <v>7.4214468061546803E-3</v>
      </c>
      <c r="N196" s="32">
        <f t="shared" ca="1" si="45"/>
        <v>0</v>
      </c>
      <c r="O196" s="122">
        <f t="shared" ca="1" si="46"/>
        <v>0</v>
      </c>
      <c r="P196" s="32">
        <f t="shared" ca="1" si="47"/>
        <v>0</v>
      </c>
      <c r="Q196" s="32">
        <f t="shared" ca="1" si="48"/>
        <v>0</v>
      </c>
      <c r="R196" s="16">
        <f t="shared" ca="1" si="49"/>
        <v>-7.4214468061546803E-3</v>
      </c>
    </row>
    <row r="197" spans="1:18">
      <c r="A197" s="71"/>
      <c r="B197" s="71"/>
      <c r="C197" s="71"/>
      <c r="D197" s="72">
        <f t="shared" si="35"/>
        <v>0</v>
      </c>
      <c r="E197" s="72">
        <f t="shared" si="36"/>
        <v>0</v>
      </c>
      <c r="F197" s="32">
        <f t="shared" si="37"/>
        <v>0</v>
      </c>
      <c r="G197" s="32">
        <f t="shared" si="38"/>
        <v>0</v>
      </c>
      <c r="H197" s="32">
        <f t="shared" si="39"/>
        <v>0</v>
      </c>
      <c r="I197" s="32">
        <f t="shared" si="40"/>
        <v>0</v>
      </c>
      <c r="J197" s="32">
        <f t="shared" si="41"/>
        <v>0</v>
      </c>
      <c r="K197" s="32">
        <f t="shared" si="42"/>
        <v>0</v>
      </c>
      <c r="L197" s="32">
        <f t="shared" si="43"/>
        <v>0</v>
      </c>
      <c r="M197" s="32">
        <f t="shared" ca="1" si="44"/>
        <v>7.4214468061546803E-3</v>
      </c>
      <c r="N197" s="32">
        <f t="shared" ca="1" si="45"/>
        <v>0</v>
      </c>
      <c r="O197" s="122">
        <f t="shared" ca="1" si="46"/>
        <v>0</v>
      </c>
      <c r="P197" s="32">
        <f t="shared" ca="1" si="47"/>
        <v>0</v>
      </c>
      <c r="Q197" s="32">
        <f t="shared" ca="1" si="48"/>
        <v>0</v>
      </c>
      <c r="R197" s="16">
        <f t="shared" ca="1" si="49"/>
        <v>-7.4214468061546803E-3</v>
      </c>
    </row>
    <row r="198" spans="1:18">
      <c r="A198" s="71"/>
      <c r="B198" s="71"/>
      <c r="C198" s="71"/>
      <c r="D198" s="72">
        <f t="shared" si="35"/>
        <v>0</v>
      </c>
      <c r="E198" s="72">
        <f t="shared" si="36"/>
        <v>0</v>
      </c>
      <c r="F198" s="32">
        <f t="shared" si="37"/>
        <v>0</v>
      </c>
      <c r="G198" s="32">
        <f t="shared" si="38"/>
        <v>0</v>
      </c>
      <c r="H198" s="32">
        <f t="shared" si="39"/>
        <v>0</v>
      </c>
      <c r="I198" s="32">
        <f t="shared" si="40"/>
        <v>0</v>
      </c>
      <c r="J198" s="32">
        <f t="shared" si="41"/>
        <v>0</v>
      </c>
      <c r="K198" s="32">
        <f t="shared" si="42"/>
        <v>0</v>
      </c>
      <c r="L198" s="32">
        <f t="shared" si="43"/>
        <v>0</v>
      </c>
      <c r="M198" s="32">
        <f t="shared" ca="1" si="44"/>
        <v>7.4214468061546803E-3</v>
      </c>
      <c r="N198" s="32">
        <f t="shared" ca="1" si="45"/>
        <v>0</v>
      </c>
      <c r="O198" s="122">
        <f t="shared" ca="1" si="46"/>
        <v>0</v>
      </c>
      <c r="P198" s="32">
        <f t="shared" ca="1" si="47"/>
        <v>0</v>
      </c>
      <c r="Q198" s="32">
        <f t="shared" ca="1" si="48"/>
        <v>0</v>
      </c>
      <c r="R198" s="16">
        <f t="shared" ca="1" si="49"/>
        <v>-7.4214468061546803E-3</v>
      </c>
    </row>
    <row r="199" spans="1:18">
      <c r="A199" s="71"/>
      <c r="B199" s="71"/>
      <c r="C199" s="71"/>
      <c r="D199" s="72">
        <f t="shared" si="35"/>
        <v>0</v>
      </c>
      <c r="E199" s="72">
        <f t="shared" si="36"/>
        <v>0</v>
      </c>
      <c r="F199" s="32">
        <f t="shared" si="37"/>
        <v>0</v>
      </c>
      <c r="G199" s="32">
        <f t="shared" si="38"/>
        <v>0</v>
      </c>
      <c r="H199" s="32">
        <f t="shared" si="39"/>
        <v>0</v>
      </c>
      <c r="I199" s="32">
        <f t="shared" si="40"/>
        <v>0</v>
      </c>
      <c r="J199" s="32">
        <f t="shared" si="41"/>
        <v>0</v>
      </c>
      <c r="K199" s="32">
        <f t="shared" si="42"/>
        <v>0</v>
      </c>
      <c r="L199" s="32">
        <f t="shared" si="43"/>
        <v>0</v>
      </c>
      <c r="M199" s="32">
        <f t="shared" ca="1" si="44"/>
        <v>7.4214468061546803E-3</v>
      </c>
      <c r="N199" s="32">
        <f t="shared" ca="1" si="45"/>
        <v>0</v>
      </c>
      <c r="O199" s="122">
        <f t="shared" ca="1" si="46"/>
        <v>0</v>
      </c>
      <c r="P199" s="32">
        <f t="shared" ca="1" si="47"/>
        <v>0</v>
      </c>
      <c r="Q199" s="32">
        <f t="shared" ca="1" si="48"/>
        <v>0</v>
      </c>
      <c r="R199" s="16">
        <f t="shared" ca="1" si="49"/>
        <v>-7.4214468061546803E-3</v>
      </c>
    </row>
    <row r="200" spans="1:18">
      <c r="A200" s="71"/>
      <c r="B200" s="71"/>
      <c r="C200" s="71"/>
      <c r="D200" s="72">
        <f t="shared" si="35"/>
        <v>0</v>
      </c>
      <c r="E200" s="72">
        <f t="shared" si="36"/>
        <v>0</v>
      </c>
      <c r="F200" s="32">
        <f t="shared" si="37"/>
        <v>0</v>
      </c>
      <c r="G200" s="32">
        <f t="shared" si="38"/>
        <v>0</v>
      </c>
      <c r="H200" s="32">
        <f t="shared" si="39"/>
        <v>0</v>
      </c>
      <c r="I200" s="32">
        <f t="shared" si="40"/>
        <v>0</v>
      </c>
      <c r="J200" s="32">
        <f t="shared" si="41"/>
        <v>0</v>
      </c>
      <c r="K200" s="32">
        <f t="shared" si="42"/>
        <v>0</v>
      </c>
      <c r="L200" s="32">
        <f t="shared" si="43"/>
        <v>0</v>
      </c>
      <c r="M200" s="32">
        <f t="shared" ca="1" si="44"/>
        <v>7.4214468061546803E-3</v>
      </c>
      <c r="N200" s="32">
        <f t="shared" ca="1" si="45"/>
        <v>0</v>
      </c>
      <c r="O200" s="122">
        <f t="shared" ca="1" si="46"/>
        <v>0</v>
      </c>
      <c r="P200" s="32">
        <f t="shared" ca="1" si="47"/>
        <v>0</v>
      </c>
      <c r="Q200" s="32">
        <f t="shared" ca="1" si="48"/>
        <v>0</v>
      </c>
      <c r="R200" s="16">
        <f t="shared" ca="1" si="49"/>
        <v>-7.4214468061546803E-3</v>
      </c>
    </row>
    <row r="201" spans="1:18">
      <c r="A201" s="71"/>
      <c r="B201" s="71"/>
      <c r="C201" s="71"/>
      <c r="D201" s="72">
        <f t="shared" si="35"/>
        <v>0</v>
      </c>
      <c r="E201" s="72">
        <f t="shared" si="36"/>
        <v>0</v>
      </c>
      <c r="F201" s="32">
        <f t="shared" si="37"/>
        <v>0</v>
      </c>
      <c r="G201" s="32">
        <f t="shared" si="38"/>
        <v>0</v>
      </c>
      <c r="H201" s="32">
        <f t="shared" si="39"/>
        <v>0</v>
      </c>
      <c r="I201" s="32">
        <f t="shared" si="40"/>
        <v>0</v>
      </c>
      <c r="J201" s="32">
        <f t="shared" si="41"/>
        <v>0</v>
      </c>
      <c r="K201" s="32">
        <f t="shared" si="42"/>
        <v>0</v>
      </c>
      <c r="L201" s="32">
        <f t="shared" si="43"/>
        <v>0</v>
      </c>
      <c r="M201" s="32">
        <f t="shared" ca="1" si="44"/>
        <v>7.4214468061546803E-3</v>
      </c>
      <c r="N201" s="32">
        <f t="shared" ca="1" si="45"/>
        <v>0</v>
      </c>
      <c r="O201" s="122">
        <f t="shared" ca="1" si="46"/>
        <v>0</v>
      </c>
      <c r="P201" s="32">
        <f t="shared" ca="1" si="47"/>
        <v>0</v>
      </c>
      <c r="Q201" s="32">
        <f t="shared" ca="1" si="48"/>
        <v>0</v>
      </c>
      <c r="R201" s="16">
        <f t="shared" ca="1" si="49"/>
        <v>-7.4214468061546803E-3</v>
      </c>
    </row>
    <row r="202" spans="1:18">
      <c r="A202" s="71"/>
      <c r="B202" s="71"/>
      <c r="C202" s="71"/>
      <c r="D202" s="72">
        <f t="shared" si="35"/>
        <v>0</v>
      </c>
      <c r="E202" s="72">
        <f t="shared" si="36"/>
        <v>0</v>
      </c>
      <c r="F202" s="32">
        <f t="shared" si="37"/>
        <v>0</v>
      </c>
      <c r="G202" s="32">
        <f t="shared" si="38"/>
        <v>0</v>
      </c>
      <c r="H202" s="32">
        <f t="shared" si="39"/>
        <v>0</v>
      </c>
      <c r="I202" s="32">
        <f t="shared" si="40"/>
        <v>0</v>
      </c>
      <c r="J202" s="32">
        <f t="shared" si="41"/>
        <v>0</v>
      </c>
      <c r="K202" s="32">
        <f t="shared" si="42"/>
        <v>0</v>
      </c>
      <c r="L202" s="32">
        <f t="shared" si="43"/>
        <v>0</v>
      </c>
      <c r="M202" s="32">
        <f t="shared" ca="1" si="44"/>
        <v>7.4214468061546803E-3</v>
      </c>
      <c r="N202" s="32">
        <f t="shared" ca="1" si="45"/>
        <v>0</v>
      </c>
      <c r="O202" s="122">
        <f t="shared" ca="1" si="46"/>
        <v>0</v>
      </c>
      <c r="P202" s="32">
        <f t="shared" ca="1" si="47"/>
        <v>0</v>
      </c>
      <c r="Q202" s="32">
        <f t="shared" ca="1" si="48"/>
        <v>0</v>
      </c>
      <c r="R202" s="16">
        <f t="shared" ca="1" si="49"/>
        <v>-7.4214468061546803E-3</v>
      </c>
    </row>
    <row r="203" spans="1:18">
      <c r="A203" s="71"/>
      <c r="B203" s="71"/>
      <c r="C203" s="71"/>
      <c r="D203" s="72">
        <f t="shared" si="35"/>
        <v>0</v>
      </c>
      <c r="E203" s="72">
        <f t="shared" si="36"/>
        <v>0</v>
      </c>
      <c r="F203" s="32">
        <f t="shared" si="37"/>
        <v>0</v>
      </c>
      <c r="G203" s="32">
        <f t="shared" si="38"/>
        <v>0</v>
      </c>
      <c r="H203" s="32">
        <f t="shared" si="39"/>
        <v>0</v>
      </c>
      <c r="I203" s="32">
        <f t="shared" si="40"/>
        <v>0</v>
      </c>
      <c r="J203" s="32">
        <f t="shared" si="41"/>
        <v>0</v>
      </c>
      <c r="K203" s="32">
        <f t="shared" si="42"/>
        <v>0</v>
      </c>
      <c r="L203" s="32">
        <f t="shared" si="43"/>
        <v>0</v>
      </c>
      <c r="M203" s="32">
        <f t="shared" ca="1" si="44"/>
        <v>7.4214468061546803E-3</v>
      </c>
      <c r="N203" s="32">
        <f t="shared" ca="1" si="45"/>
        <v>0</v>
      </c>
      <c r="O203" s="122">
        <f t="shared" ca="1" si="46"/>
        <v>0</v>
      </c>
      <c r="P203" s="32">
        <f t="shared" ca="1" si="47"/>
        <v>0</v>
      </c>
      <c r="Q203" s="32">
        <f t="shared" ca="1" si="48"/>
        <v>0</v>
      </c>
      <c r="R203" s="16">
        <f t="shared" ca="1" si="49"/>
        <v>-7.4214468061546803E-3</v>
      </c>
    </row>
    <row r="204" spans="1:18">
      <c r="A204" s="71"/>
      <c r="B204" s="71"/>
      <c r="C204" s="71"/>
      <c r="D204" s="72">
        <f t="shared" si="35"/>
        <v>0</v>
      </c>
      <c r="E204" s="72">
        <f t="shared" si="36"/>
        <v>0</v>
      </c>
      <c r="F204" s="32">
        <f t="shared" si="37"/>
        <v>0</v>
      </c>
      <c r="G204" s="32">
        <f t="shared" si="38"/>
        <v>0</v>
      </c>
      <c r="H204" s="32">
        <f t="shared" si="39"/>
        <v>0</v>
      </c>
      <c r="I204" s="32">
        <f t="shared" si="40"/>
        <v>0</v>
      </c>
      <c r="J204" s="32">
        <f t="shared" si="41"/>
        <v>0</v>
      </c>
      <c r="K204" s="32">
        <f t="shared" si="42"/>
        <v>0</v>
      </c>
      <c r="L204" s="32">
        <f t="shared" si="43"/>
        <v>0</v>
      </c>
      <c r="M204" s="32">
        <f t="shared" ca="1" si="44"/>
        <v>7.4214468061546803E-3</v>
      </c>
      <c r="N204" s="32">
        <f t="shared" ca="1" si="45"/>
        <v>0</v>
      </c>
      <c r="O204" s="122">
        <f t="shared" ca="1" si="46"/>
        <v>0</v>
      </c>
      <c r="P204" s="32">
        <f t="shared" ca="1" si="47"/>
        <v>0</v>
      </c>
      <c r="Q204" s="32">
        <f t="shared" ca="1" si="48"/>
        <v>0</v>
      </c>
      <c r="R204" s="16">
        <f t="shared" ca="1" si="49"/>
        <v>-7.4214468061546803E-3</v>
      </c>
    </row>
    <row r="205" spans="1:18">
      <c r="A205" s="71"/>
      <c r="B205" s="71"/>
      <c r="C205" s="71"/>
      <c r="D205" s="72">
        <f t="shared" si="35"/>
        <v>0</v>
      </c>
      <c r="E205" s="72">
        <f t="shared" si="36"/>
        <v>0</v>
      </c>
      <c r="F205" s="32">
        <f t="shared" si="37"/>
        <v>0</v>
      </c>
      <c r="G205" s="32">
        <f t="shared" si="38"/>
        <v>0</v>
      </c>
      <c r="H205" s="32">
        <f t="shared" si="39"/>
        <v>0</v>
      </c>
      <c r="I205" s="32">
        <f t="shared" si="40"/>
        <v>0</v>
      </c>
      <c r="J205" s="32">
        <f t="shared" si="41"/>
        <v>0</v>
      </c>
      <c r="K205" s="32">
        <f t="shared" si="42"/>
        <v>0</v>
      </c>
      <c r="L205" s="32">
        <f t="shared" si="43"/>
        <v>0</v>
      </c>
      <c r="M205" s="32">
        <f t="shared" ca="1" si="44"/>
        <v>7.4214468061546803E-3</v>
      </c>
      <c r="N205" s="32">
        <f t="shared" ca="1" si="45"/>
        <v>0</v>
      </c>
      <c r="O205" s="122">
        <f t="shared" ca="1" si="46"/>
        <v>0</v>
      </c>
      <c r="P205" s="32">
        <f t="shared" ca="1" si="47"/>
        <v>0</v>
      </c>
      <c r="Q205" s="32">
        <f t="shared" ca="1" si="48"/>
        <v>0</v>
      </c>
      <c r="R205" s="16">
        <f t="shared" ca="1" si="49"/>
        <v>-7.4214468061546803E-3</v>
      </c>
    </row>
    <row r="206" spans="1:18">
      <c r="A206" s="71"/>
      <c r="B206" s="71"/>
      <c r="C206" s="71"/>
      <c r="D206" s="72">
        <f t="shared" si="35"/>
        <v>0</v>
      </c>
      <c r="E206" s="72">
        <f t="shared" si="36"/>
        <v>0</v>
      </c>
      <c r="F206" s="32">
        <f t="shared" si="37"/>
        <v>0</v>
      </c>
      <c r="G206" s="32">
        <f t="shared" si="38"/>
        <v>0</v>
      </c>
      <c r="H206" s="32">
        <f t="shared" si="39"/>
        <v>0</v>
      </c>
      <c r="I206" s="32">
        <f t="shared" si="40"/>
        <v>0</v>
      </c>
      <c r="J206" s="32">
        <f t="shared" si="41"/>
        <v>0</v>
      </c>
      <c r="K206" s="32">
        <f t="shared" si="42"/>
        <v>0</v>
      </c>
      <c r="L206" s="32">
        <f t="shared" si="43"/>
        <v>0</v>
      </c>
      <c r="M206" s="32">
        <f t="shared" ca="1" si="44"/>
        <v>7.4214468061546803E-3</v>
      </c>
      <c r="N206" s="32">
        <f t="shared" ca="1" si="45"/>
        <v>0</v>
      </c>
      <c r="O206" s="122">
        <f t="shared" ca="1" si="46"/>
        <v>0</v>
      </c>
      <c r="P206" s="32">
        <f t="shared" ca="1" si="47"/>
        <v>0</v>
      </c>
      <c r="Q206" s="32">
        <f t="shared" ca="1" si="48"/>
        <v>0</v>
      </c>
      <c r="R206" s="16">
        <f t="shared" ca="1" si="49"/>
        <v>-7.4214468061546803E-3</v>
      </c>
    </row>
    <row r="207" spans="1:18">
      <c r="A207" s="71"/>
      <c r="B207" s="71"/>
      <c r="C207" s="71"/>
      <c r="D207" s="72">
        <f t="shared" si="35"/>
        <v>0</v>
      </c>
      <c r="E207" s="72">
        <f t="shared" si="36"/>
        <v>0</v>
      </c>
      <c r="F207" s="32">
        <f t="shared" si="37"/>
        <v>0</v>
      </c>
      <c r="G207" s="32">
        <f t="shared" si="38"/>
        <v>0</v>
      </c>
      <c r="H207" s="32">
        <f t="shared" si="39"/>
        <v>0</v>
      </c>
      <c r="I207" s="32">
        <f t="shared" si="40"/>
        <v>0</v>
      </c>
      <c r="J207" s="32">
        <f t="shared" si="41"/>
        <v>0</v>
      </c>
      <c r="K207" s="32">
        <f t="shared" si="42"/>
        <v>0</v>
      </c>
      <c r="L207" s="32">
        <f t="shared" si="43"/>
        <v>0</v>
      </c>
      <c r="M207" s="32">
        <f t="shared" ca="1" si="44"/>
        <v>7.4214468061546803E-3</v>
      </c>
      <c r="N207" s="32">
        <f t="shared" ca="1" si="45"/>
        <v>0</v>
      </c>
      <c r="O207" s="122">
        <f t="shared" ca="1" si="46"/>
        <v>0</v>
      </c>
      <c r="P207" s="32">
        <f t="shared" ca="1" si="47"/>
        <v>0</v>
      </c>
      <c r="Q207" s="32">
        <f t="shared" ca="1" si="48"/>
        <v>0</v>
      </c>
      <c r="R207" s="16">
        <f t="shared" ca="1" si="49"/>
        <v>-7.4214468061546803E-3</v>
      </c>
    </row>
    <row r="208" spans="1:18">
      <c r="A208" s="71"/>
      <c r="B208" s="71"/>
      <c r="C208" s="71"/>
      <c r="D208" s="72">
        <f t="shared" si="35"/>
        <v>0</v>
      </c>
      <c r="E208" s="72">
        <f t="shared" si="36"/>
        <v>0</v>
      </c>
      <c r="F208" s="32">
        <f t="shared" si="37"/>
        <v>0</v>
      </c>
      <c r="G208" s="32">
        <f t="shared" si="38"/>
        <v>0</v>
      </c>
      <c r="H208" s="32">
        <f t="shared" si="39"/>
        <v>0</v>
      </c>
      <c r="I208" s="32">
        <f t="shared" si="40"/>
        <v>0</v>
      </c>
      <c r="J208" s="32">
        <f t="shared" si="41"/>
        <v>0</v>
      </c>
      <c r="K208" s="32">
        <f t="shared" si="42"/>
        <v>0</v>
      </c>
      <c r="L208" s="32">
        <f t="shared" si="43"/>
        <v>0</v>
      </c>
      <c r="M208" s="32">
        <f t="shared" ca="1" si="44"/>
        <v>7.4214468061546803E-3</v>
      </c>
      <c r="N208" s="32">
        <f t="shared" ca="1" si="45"/>
        <v>0</v>
      </c>
      <c r="O208" s="122">
        <f t="shared" ca="1" si="46"/>
        <v>0</v>
      </c>
      <c r="P208" s="32">
        <f t="shared" ca="1" si="47"/>
        <v>0</v>
      </c>
      <c r="Q208" s="32">
        <f t="shared" ca="1" si="48"/>
        <v>0</v>
      </c>
      <c r="R208" s="16">
        <f t="shared" ca="1" si="49"/>
        <v>-7.4214468061546803E-3</v>
      </c>
    </row>
    <row r="209" spans="1:18">
      <c r="A209" s="71"/>
      <c r="B209" s="71"/>
      <c r="C209" s="71"/>
      <c r="D209" s="72">
        <f t="shared" si="35"/>
        <v>0</v>
      </c>
      <c r="E209" s="72">
        <f t="shared" si="36"/>
        <v>0</v>
      </c>
      <c r="F209" s="32">
        <f t="shared" si="37"/>
        <v>0</v>
      </c>
      <c r="G209" s="32">
        <f t="shared" si="38"/>
        <v>0</v>
      </c>
      <c r="H209" s="32">
        <f t="shared" si="39"/>
        <v>0</v>
      </c>
      <c r="I209" s="32">
        <f t="shared" si="40"/>
        <v>0</v>
      </c>
      <c r="J209" s="32">
        <f t="shared" si="41"/>
        <v>0</v>
      </c>
      <c r="K209" s="32">
        <f t="shared" si="42"/>
        <v>0</v>
      </c>
      <c r="L209" s="32">
        <f t="shared" si="43"/>
        <v>0</v>
      </c>
      <c r="M209" s="32">
        <f t="shared" ca="1" si="44"/>
        <v>7.4214468061546803E-3</v>
      </c>
      <c r="N209" s="32">
        <f t="shared" ca="1" si="45"/>
        <v>0</v>
      </c>
      <c r="O209" s="122">
        <f t="shared" ca="1" si="46"/>
        <v>0</v>
      </c>
      <c r="P209" s="32">
        <f t="shared" ca="1" si="47"/>
        <v>0</v>
      </c>
      <c r="Q209" s="32">
        <f t="shared" ca="1" si="48"/>
        <v>0</v>
      </c>
      <c r="R209" s="16">
        <f t="shared" ca="1" si="49"/>
        <v>-7.4214468061546803E-3</v>
      </c>
    </row>
    <row r="210" spans="1:18">
      <c r="A210" s="71"/>
      <c r="B210" s="71"/>
      <c r="C210" s="71"/>
      <c r="D210" s="72">
        <f t="shared" si="35"/>
        <v>0</v>
      </c>
      <c r="E210" s="72">
        <f t="shared" si="36"/>
        <v>0</v>
      </c>
      <c r="F210" s="32">
        <f t="shared" si="37"/>
        <v>0</v>
      </c>
      <c r="G210" s="32">
        <f t="shared" si="38"/>
        <v>0</v>
      </c>
      <c r="H210" s="32">
        <f t="shared" si="39"/>
        <v>0</v>
      </c>
      <c r="I210" s="32">
        <f t="shared" si="40"/>
        <v>0</v>
      </c>
      <c r="J210" s="32">
        <f t="shared" si="41"/>
        <v>0</v>
      </c>
      <c r="K210" s="32">
        <f t="shared" si="42"/>
        <v>0</v>
      </c>
      <c r="L210" s="32">
        <f t="shared" si="43"/>
        <v>0</v>
      </c>
      <c r="M210" s="32">
        <f t="shared" ca="1" si="44"/>
        <v>7.4214468061546803E-3</v>
      </c>
      <c r="N210" s="32">
        <f t="shared" ca="1" si="45"/>
        <v>0</v>
      </c>
      <c r="O210" s="122">
        <f t="shared" ca="1" si="46"/>
        <v>0</v>
      </c>
      <c r="P210" s="32">
        <f t="shared" ca="1" si="47"/>
        <v>0</v>
      </c>
      <c r="Q210" s="32">
        <f t="shared" ca="1" si="48"/>
        <v>0</v>
      </c>
      <c r="R210" s="16">
        <f t="shared" ca="1" si="49"/>
        <v>-7.4214468061546803E-3</v>
      </c>
    </row>
    <row r="211" spans="1:18">
      <c r="A211" s="71"/>
      <c r="B211" s="71"/>
      <c r="C211" s="71"/>
      <c r="D211" s="72">
        <f t="shared" si="35"/>
        <v>0</v>
      </c>
      <c r="E211" s="72">
        <f t="shared" si="36"/>
        <v>0</v>
      </c>
      <c r="F211" s="32">
        <f t="shared" si="37"/>
        <v>0</v>
      </c>
      <c r="G211" s="32">
        <f t="shared" si="38"/>
        <v>0</v>
      </c>
      <c r="H211" s="32">
        <f t="shared" si="39"/>
        <v>0</v>
      </c>
      <c r="I211" s="32">
        <f t="shared" si="40"/>
        <v>0</v>
      </c>
      <c r="J211" s="32">
        <f t="shared" si="41"/>
        <v>0</v>
      </c>
      <c r="K211" s="32">
        <f t="shared" si="42"/>
        <v>0</v>
      </c>
      <c r="L211" s="32">
        <f t="shared" si="43"/>
        <v>0</v>
      </c>
      <c r="M211" s="32">
        <f t="shared" ca="1" si="44"/>
        <v>7.4214468061546803E-3</v>
      </c>
      <c r="N211" s="32">
        <f t="shared" ca="1" si="45"/>
        <v>0</v>
      </c>
      <c r="O211" s="122">
        <f t="shared" ca="1" si="46"/>
        <v>0</v>
      </c>
      <c r="P211" s="32">
        <f t="shared" ca="1" si="47"/>
        <v>0</v>
      </c>
      <c r="Q211" s="32">
        <f t="shared" ca="1" si="48"/>
        <v>0</v>
      </c>
      <c r="R211" s="16">
        <f t="shared" ca="1" si="49"/>
        <v>-7.4214468061546803E-3</v>
      </c>
    </row>
    <row r="212" spans="1:18">
      <c r="A212" s="71"/>
      <c r="B212" s="71"/>
      <c r="C212" s="71"/>
      <c r="D212" s="72">
        <f t="shared" si="35"/>
        <v>0</v>
      </c>
      <c r="E212" s="72">
        <f t="shared" si="36"/>
        <v>0</v>
      </c>
      <c r="F212" s="32">
        <f t="shared" si="37"/>
        <v>0</v>
      </c>
      <c r="G212" s="32">
        <f t="shared" si="38"/>
        <v>0</v>
      </c>
      <c r="H212" s="32">
        <f t="shared" si="39"/>
        <v>0</v>
      </c>
      <c r="I212" s="32">
        <f t="shared" si="40"/>
        <v>0</v>
      </c>
      <c r="J212" s="32">
        <f t="shared" si="41"/>
        <v>0</v>
      </c>
      <c r="K212" s="32">
        <f t="shared" si="42"/>
        <v>0</v>
      </c>
      <c r="L212" s="32">
        <f t="shared" si="43"/>
        <v>0</v>
      </c>
      <c r="M212" s="32">
        <f t="shared" ca="1" si="44"/>
        <v>7.4214468061546803E-3</v>
      </c>
      <c r="N212" s="32">
        <f t="shared" ca="1" si="45"/>
        <v>0</v>
      </c>
      <c r="O212" s="122">
        <f t="shared" ca="1" si="46"/>
        <v>0</v>
      </c>
      <c r="P212" s="32">
        <f t="shared" ca="1" si="47"/>
        <v>0</v>
      </c>
      <c r="Q212" s="32">
        <f t="shared" ca="1" si="48"/>
        <v>0</v>
      </c>
      <c r="R212" s="16">
        <f t="shared" ca="1" si="49"/>
        <v>-7.4214468061546803E-3</v>
      </c>
    </row>
    <row r="213" spans="1:18">
      <c r="A213" s="71"/>
      <c r="B213" s="71"/>
      <c r="C213" s="71"/>
      <c r="D213" s="72">
        <f t="shared" ref="D213:D276" si="50">A213/A$18</f>
        <v>0</v>
      </c>
      <c r="E213" s="72">
        <f t="shared" ref="E213:E276" si="51">B213/B$18</f>
        <v>0</v>
      </c>
      <c r="F213" s="32">
        <f t="shared" ref="F213:F276" si="52">$C213*D213</f>
        <v>0</v>
      </c>
      <c r="G213" s="32">
        <f t="shared" ref="G213:G276" si="53">$C213*E213</f>
        <v>0</v>
      </c>
      <c r="H213" s="32">
        <f t="shared" ref="H213:H276" si="54">C213*D213*D213</f>
        <v>0</v>
      </c>
      <c r="I213" s="32">
        <f t="shared" ref="I213:I276" si="55">C213*D213*D213*D213</f>
        <v>0</v>
      </c>
      <c r="J213" s="32">
        <f t="shared" ref="J213:J276" si="56">C213*D213*D213*D213*D213</f>
        <v>0</v>
      </c>
      <c r="K213" s="32">
        <f t="shared" ref="K213:K276" si="57">C213*E213*D213</f>
        <v>0</v>
      </c>
      <c r="L213" s="32">
        <f t="shared" ref="L213:L276" si="58">C213*E213*D213*D213</f>
        <v>0</v>
      </c>
      <c r="M213" s="32">
        <f t="shared" ref="M213:M276" ca="1" si="59">+E$4+E$5*D213+E$6*D213^2</f>
        <v>7.4214468061546803E-3</v>
      </c>
      <c r="N213" s="32">
        <f t="shared" ref="N213:N276" ca="1" si="60">C213*(M213-E213)^2</f>
        <v>0</v>
      </c>
      <c r="O213" s="122">
        <f t="shared" ref="O213:O276" ca="1" si="61">(C213*O$1-O$2*F213+O$3*H213)^2</f>
        <v>0</v>
      </c>
      <c r="P213" s="32">
        <f t="shared" ref="P213:P276" ca="1" si="62">(-C213*O$2+O$4*F213-O$5*H213)^2</f>
        <v>0</v>
      </c>
      <c r="Q213" s="32">
        <f t="shared" ref="Q213:Q276" ca="1" si="63">+(C213*O$3-F213*O$5+H213*O$6)^2</f>
        <v>0</v>
      </c>
      <c r="R213" s="16">
        <f t="shared" ref="R213:R276" ca="1" si="64">+E213-M213</f>
        <v>-7.4214468061546803E-3</v>
      </c>
    </row>
    <row r="214" spans="1:18">
      <c r="A214" s="71"/>
      <c r="B214" s="71"/>
      <c r="C214" s="71"/>
      <c r="D214" s="72">
        <f t="shared" si="50"/>
        <v>0</v>
      </c>
      <c r="E214" s="72">
        <f t="shared" si="51"/>
        <v>0</v>
      </c>
      <c r="F214" s="32">
        <f t="shared" si="52"/>
        <v>0</v>
      </c>
      <c r="G214" s="32">
        <f t="shared" si="53"/>
        <v>0</v>
      </c>
      <c r="H214" s="32">
        <f t="shared" si="54"/>
        <v>0</v>
      </c>
      <c r="I214" s="32">
        <f t="shared" si="55"/>
        <v>0</v>
      </c>
      <c r="J214" s="32">
        <f t="shared" si="56"/>
        <v>0</v>
      </c>
      <c r="K214" s="32">
        <f t="shared" si="57"/>
        <v>0</v>
      </c>
      <c r="L214" s="32">
        <f t="shared" si="58"/>
        <v>0</v>
      </c>
      <c r="M214" s="32">
        <f t="shared" ca="1" si="59"/>
        <v>7.4214468061546803E-3</v>
      </c>
      <c r="N214" s="32">
        <f t="shared" ca="1" si="60"/>
        <v>0</v>
      </c>
      <c r="O214" s="122">
        <f t="shared" ca="1" si="61"/>
        <v>0</v>
      </c>
      <c r="P214" s="32">
        <f t="shared" ca="1" si="62"/>
        <v>0</v>
      </c>
      <c r="Q214" s="32">
        <f t="shared" ca="1" si="63"/>
        <v>0</v>
      </c>
      <c r="R214" s="16">
        <f t="shared" ca="1" si="64"/>
        <v>-7.4214468061546803E-3</v>
      </c>
    </row>
    <row r="215" spans="1:18">
      <c r="A215" s="71"/>
      <c r="B215" s="71"/>
      <c r="C215" s="71"/>
      <c r="D215" s="72">
        <f t="shared" si="50"/>
        <v>0</v>
      </c>
      <c r="E215" s="72">
        <f t="shared" si="51"/>
        <v>0</v>
      </c>
      <c r="F215" s="32">
        <f t="shared" si="52"/>
        <v>0</v>
      </c>
      <c r="G215" s="32">
        <f t="shared" si="53"/>
        <v>0</v>
      </c>
      <c r="H215" s="32">
        <f t="shared" si="54"/>
        <v>0</v>
      </c>
      <c r="I215" s="32">
        <f t="shared" si="55"/>
        <v>0</v>
      </c>
      <c r="J215" s="32">
        <f t="shared" si="56"/>
        <v>0</v>
      </c>
      <c r="K215" s="32">
        <f t="shared" si="57"/>
        <v>0</v>
      </c>
      <c r="L215" s="32">
        <f t="shared" si="58"/>
        <v>0</v>
      </c>
      <c r="M215" s="32">
        <f t="shared" ca="1" si="59"/>
        <v>7.4214468061546803E-3</v>
      </c>
      <c r="N215" s="32">
        <f t="shared" ca="1" si="60"/>
        <v>0</v>
      </c>
      <c r="O215" s="122">
        <f t="shared" ca="1" si="61"/>
        <v>0</v>
      </c>
      <c r="P215" s="32">
        <f t="shared" ca="1" si="62"/>
        <v>0</v>
      </c>
      <c r="Q215" s="32">
        <f t="shared" ca="1" si="63"/>
        <v>0</v>
      </c>
      <c r="R215" s="16">
        <f t="shared" ca="1" si="64"/>
        <v>-7.4214468061546803E-3</v>
      </c>
    </row>
    <row r="216" spans="1:18">
      <c r="A216" s="71"/>
      <c r="B216" s="71"/>
      <c r="C216" s="71"/>
      <c r="D216" s="72">
        <f t="shared" si="50"/>
        <v>0</v>
      </c>
      <c r="E216" s="72">
        <f t="shared" si="51"/>
        <v>0</v>
      </c>
      <c r="F216" s="32">
        <f t="shared" si="52"/>
        <v>0</v>
      </c>
      <c r="G216" s="32">
        <f t="shared" si="53"/>
        <v>0</v>
      </c>
      <c r="H216" s="32">
        <f t="shared" si="54"/>
        <v>0</v>
      </c>
      <c r="I216" s="32">
        <f t="shared" si="55"/>
        <v>0</v>
      </c>
      <c r="J216" s="32">
        <f t="shared" si="56"/>
        <v>0</v>
      </c>
      <c r="K216" s="32">
        <f t="shared" si="57"/>
        <v>0</v>
      </c>
      <c r="L216" s="32">
        <f t="shared" si="58"/>
        <v>0</v>
      </c>
      <c r="M216" s="32">
        <f t="shared" ca="1" si="59"/>
        <v>7.4214468061546803E-3</v>
      </c>
      <c r="N216" s="32">
        <f t="shared" ca="1" si="60"/>
        <v>0</v>
      </c>
      <c r="O216" s="122">
        <f t="shared" ca="1" si="61"/>
        <v>0</v>
      </c>
      <c r="P216" s="32">
        <f t="shared" ca="1" si="62"/>
        <v>0</v>
      </c>
      <c r="Q216" s="32">
        <f t="shared" ca="1" si="63"/>
        <v>0</v>
      </c>
      <c r="R216" s="16">
        <f t="shared" ca="1" si="64"/>
        <v>-7.4214468061546803E-3</v>
      </c>
    </row>
    <row r="217" spans="1:18">
      <c r="A217" s="71"/>
      <c r="B217" s="71"/>
      <c r="C217" s="71"/>
      <c r="D217" s="72">
        <f t="shared" si="50"/>
        <v>0</v>
      </c>
      <c r="E217" s="72">
        <f t="shared" si="51"/>
        <v>0</v>
      </c>
      <c r="F217" s="32">
        <f t="shared" si="52"/>
        <v>0</v>
      </c>
      <c r="G217" s="32">
        <f t="shared" si="53"/>
        <v>0</v>
      </c>
      <c r="H217" s="32">
        <f t="shared" si="54"/>
        <v>0</v>
      </c>
      <c r="I217" s="32">
        <f t="shared" si="55"/>
        <v>0</v>
      </c>
      <c r="J217" s="32">
        <f t="shared" si="56"/>
        <v>0</v>
      </c>
      <c r="K217" s="32">
        <f t="shared" si="57"/>
        <v>0</v>
      </c>
      <c r="L217" s="32">
        <f t="shared" si="58"/>
        <v>0</v>
      </c>
      <c r="M217" s="32">
        <f t="shared" ca="1" si="59"/>
        <v>7.4214468061546803E-3</v>
      </c>
      <c r="N217" s="32">
        <f t="shared" ca="1" si="60"/>
        <v>0</v>
      </c>
      <c r="O217" s="122">
        <f t="shared" ca="1" si="61"/>
        <v>0</v>
      </c>
      <c r="P217" s="32">
        <f t="shared" ca="1" si="62"/>
        <v>0</v>
      </c>
      <c r="Q217" s="32">
        <f t="shared" ca="1" si="63"/>
        <v>0</v>
      </c>
      <c r="R217" s="16">
        <f t="shared" ca="1" si="64"/>
        <v>-7.4214468061546803E-3</v>
      </c>
    </row>
    <row r="218" spans="1:18">
      <c r="A218" s="71"/>
      <c r="B218" s="71"/>
      <c r="C218" s="71"/>
      <c r="D218" s="72">
        <f t="shared" si="50"/>
        <v>0</v>
      </c>
      <c r="E218" s="72">
        <f t="shared" si="51"/>
        <v>0</v>
      </c>
      <c r="F218" s="32">
        <f t="shared" si="52"/>
        <v>0</v>
      </c>
      <c r="G218" s="32">
        <f t="shared" si="53"/>
        <v>0</v>
      </c>
      <c r="H218" s="32">
        <f t="shared" si="54"/>
        <v>0</v>
      </c>
      <c r="I218" s="32">
        <f t="shared" si="55"/>
        <v>0</v>
      </c>
      <c r="J218" s="32">
        <f t="shared" si="56"/>
        <v>0</v>
      </c>
      <c r="K218" s="32">
        <f t="shared" si="57"/>
        <v>0</v>
      </c>
      <c r="L218" s="32">
        <f t="shared" si="58"/>
        <v>0</v>
      </c>
      <c r="M218" s="32">
        <f t="shared" ca="1" si="59"/>
        <v>7.4214468061546803E-3</v>
      </c>
      <c r="N218" s="32">
        <f t="shared" ca="1" si="60"/>
        <v>0</v>
      </c>
      <c r="O218" s="122">
        <f t="shared" ca="1" si="61"/>
        <v>0</v>
      </c>
      <c r="P218" s="32">
        <f t="shared" ca="1" si="62"/>
        <v>0</v>
      </c>
      <c r="Q218" s="32">
        <f t="shared" ca="1" si="63"/>
        <v>0</v>
      </c>
      <c r="R218" s="16">
        <f t="shared" ca="1" si="64"/>
        <v>-7.4214468061546803E-3</v>
      </c>
    </row>
    <row r="219" spans="1:18">
      <c r="A219" s="71"/>
      <c r="B219" s="71"/>
      <c r="C219" s="71"/>
      <c r="D219" s="72">
        <f t="shared" si="50"/>
        <v>0</v>
      </c>
      <c r="E219" s="72">
        <f t="shared" si="51"/>
        <v>0</v>
      </c>
      <c r="F219" s="32">
        <f t="shared" si="52"/>
        <v>0</v>
      </c>
      <c r="G219" s="32">
        <f t="shared" si="53"/>
        <v>0</v>
      </c>
      <c r="H219" s="32">
        <f t="shared" si="54"/>
        <v>0</v>
      </c>
      <c r="I219" s="32">
        <f t="shared" si="55"/>
        <v>0</v>
      </c>
      <c r="J219" s="32">
        <f t="shared" si="56"/>
        <v>0</v>
      </c>
      <c r="K219" s="32">
        <f t="shared" si="57"/>
        <v>0</v>
      </c>
      <c r="L219" s="32">
        <f t="shared" si="58"/>
        <v>0</v>
      </c>
      <c r="M219" s="32">
        <f t="shared" ca="1" si="59"/>
        <v>7.4214468061546803E-3</v>
      </c>
      <c r="N219" s="32">
        <f t="shared" ca="1" si="60"/>
        <v>0</v>
      </c>
      <c r="O219" s="122">
        <f t="shared" ca="1" si="61"/>
        <v>0</v>
      </c>
      <c r="P219" s="32">
        <f t="shared" ca="1" si="62"/>
        <v>0</v>
      </c>
      <c r="Q219" s="32">
        <f t="shared" ca="1" si="63"/>
        <v>0</v>
      </c>
      <c r="R219" s="16">
        <f t="shared" ca="1" si="64"/>
        <v>-7.4214468061546803E-3</v>
      </c>
    </row>
    <row r="220" spans="1:18">
      <c r="A220" s="71"/>
      <c r="B220" s="71"/>
      <c r="C220" s="71"/>
      <c r="D220" s="72">
        <f t="shared" si="50"/>
        <v>0</v>
      </c>
      <c r="E220" s="72">
        <f t="shared" si="51"/>
        <v>0</v>
      </c>
      <c r="F220" s="32">
        <f t="shared" si="52"/>
        <v>0</v>
      </c>
      <c r="G220" s="32">
        <f t="shared" si="53"/>
        <v>0</v>
      </c>
      <c r="H220" s="32">
        <f t="shared" si="54"/>
        <v>0</v>
      </c>
      <c r="I220" s="32">
        <f t="shared" si="55"/>
        <v>0</v>
      </c>
      <c r="J220" s="32">
        <f t="shared" si="56"/>
        <v>0</v>
      </c>
      <c r="K220" s="32">
        <f t="shared" si="57"/>
        <v>0</v>
      </c>
      <c r="L220" s="32">
        <f t="shared" si="58"/>
        <v>0</v>
      </c>
      <c r="M220" s="32">
        <f t="shared" ca="1" si="59"/>
        <v>7.4214468061546803E-3</v>
      </c>
      <c r="N220" s="32">
        <f t="shared" ca="1" si="60"/>
        <v>0</v>
      </c>
      <c r="O220" s="122">
        <f t="shared" ca="1" si="61"/>
        <v>0</v>
      </c>
      <c r="P220" s="32">
        <f t="shared" ca="1" si="62"/>
        <v>0</v>
      </c>
      <c r="Q220" s="32">
        <f t="shared" ca="1" si="63"/>
        <v>0</v>
      </c>
      <c r="R220" s="16">
        <f t="shared" ca="1" si="64"/>
        <v>-7.4214468061546803E-3</v>
      </c>
    </row>
    <row r="221" spans="1:18">
      <c r="A221" s="71"/>
      <c r="B221" s="71"/>
      <c r="C221" s="71"/>
      <c r="D221" s="72">
        <f t="shared" si="50"/>
        <v>0</v>
      </c>
      <c r="E221" s="72">
        <f t="shared" si="51"/>
        <v>0</v>
      </c>
      <c r="F221" s="32">
        <f t="shared" si="52"/>
        <v>0</v>
      </c>
      <c r="G221" s="32">
        <f t="shared" si="53"/>
        <v>0</v>
      </c>
      <c r="H221" s="32">
        <f t="shared" si="54"/>
        <v>0</v>
      </c>
      <c r="I221" s="32">
        <f t="shared" si="55"/>
        <v>0</v>
      </c>
      <c r="J221" s="32">
        <f t="shared" si="56"/>
        <v>0</v>
      </c>
      <c r="K221" s="32">
        <f t="shared" si="57"/>
        <v>0</v>
      </c>
      <c r="L221" s="32">
        <f t="shared" si="58"/>
        <v>0</v>
      </c>
      <c r="M221" s="32">
        <f t="shared" ca="1" si="59"/>
        <v>7.4214468061546803E-3</v>
      </c>
      <c r="N221" s="32">
        <f t="shared" ca="1" si="60"/>
        <v>0</v>
      </c>
      <c r="O221" s="122">
        <f t="shared" ca="1" si="61"/>
        <v>0</v>
      </c>
      <c r="P221" s="32">
        <f t="shared" ca="1" si="62"/>
        <v>0</v>
      </c>
      <c r="Q221" s="32">
        <f t="shared" ca="1" si="63"/>
        <v>0</v>
      </c>
      <c r="R221" s="16">
        <f t="shared" ca="1" si="64"/>
        <v>-7.4214468061546803E-3</v>
      </c>
    </row>
    <row r="222" spans="1:18">
      <c r="A222" s="71"/>
      <c r="B222" s="71"/>
      <c r="C222" s="71"/>
      <c r="D222" s="72">
        <f t="shared" si="50"/>
        <v>0</v>
      </c>
      <c r="E222" s="72">
        <f t="shared" si="51"/>
        <v>0</v>
      </c>
      <c r="F222" s="32">
        <f t="shared" si="52"/>
        <v>0</v>
      </c>
      <c r="G222" s="32">
        <f t="shared" si="53"/>
        <v>0</v>
      </c>
      <c r="H222" s="32">
        <f t="shared" si="54"/>
        <v>0</v>
      </c>
      <c r="I222" s="32">
        <f t="shared" si="55"/>
        <v>0</v>
      </c>
      <c r="J222" s="32">
        <f t="shared" si="56"/>
        <v>0</v>
      </c>
      <c r="K222" s="32">
        <f t="shared" si="57"/>
        <v>0</v>
      </c>
      <c r="L222" s="32">
        <f t="shared" si="58"/>
        <v>0</v>
      </c>
      <c r="M222" s="32">
        <f t="shared" ca="1" si="59"/>
        <v>7.4214468061546803E-3</v>
      </c>
      <c r="N222" s="32">
        <f t="shared" ca="1" si="60"/>
        <v>0</v>
      </c>
      <c r="O222" s="122">
        <f t="shared" ca="1" si="61"/>
        <v>0</v>
      </c>
      <c r="P222" s="32">
        <f t="shared" ca="1" si="62"/>
        <v>0</v>
      </c>
      <c r="Q222" s="32">
        <f t="shared" ca="1" si="63"/>
        <v>0</v>
      </c>
      <c r="R222" s="16">
        <f t="shared" ca="1" si="64"/>
        <v>-7.4214468061546803E-3</v>
      </c>
    </row>
    <row r="223" spans="1:18">
      <c r="A223" s="71"/>
      <c r="B223" s="71"/>
      <c r="C223" s="71"/>
      <c r="D223" s="72">
        <f t="shared" si="50"/>
        <v>0</v>
      </c>
      <c r="E223" s="72">
        <f t="shared" si="51"/>
        <v>0</v>
      </c>
      <c r="F223" s="32">
        <f t="shared" si="52"/>
        <v>0</v>
      </c>
      <c r="G223" s="32">
        <f t="shared" si="53"/>
        <v>0</v>
      </c>
      <c r="H223" s="32">
        <f t="shared" si="54"/>
        <v>0</v>
      </c>
      <c r="I223" s="32">
        <f t="shared" si="55"/>
        <v>0</v>
      </c>
      <c r="J223" s="32">
        <f t="shared" si="56"/>
        <v>0</v>
      </c>
      <c r="K223" s="32">
        <f t="shared" si="57"/>
        <v>0</v>
      </c>
      <c r="L223" s="32">
        <f t="shared" si="58"/>
        <v>0</v>
      </c>
      <c r="M223" s="32">
        <f t="shared" ca="1" si="59"/>
        <v>7.4214468061546803E-3</v>
      </c>
      <c r="N223" s="32">
        <f t="shared" ca="1" si="60"/>
        <v>0</v>
      </c>
      <c r="O223" s="122">
        <f t="shared" ca="1" si="61"/>
        <v>0</v>
      </c>
      <c r="P223" s="32">
        <f t="shared" ca="1" si="62"/>
        <v>0</v>
      </c>
      <c r="Q223" s="32">
        <f t="shared" ca="1" si="63"/>
        <v>0</v>
      </c>
      <c r="R223" s="16">
        <f t="shared" ca="1" si="64"/>
        <v>-7.4214468061546803E-3</v>
      </c>
    </row>
    <row r="224" spans="1:18">
      <c r="A224" s="71"/>
      <c r="B224" s="71"/>
      <c r="C224" s="71"/>
      <c r="D224" s="72">
        <f t="shared" si="50"/>
        <v>0</v>
      </c>
      <c r="E224" s="72">
        <f t="shared" si="51"/>
        <v>0</v>
      </c>
      <c r="F224" s="32">
        <f t="shared" si="52"/>
        <v>0</v>
      </c>
      <c r="G224" s="32">
        <f t="shared" si="53"/>
        <v>0</v>
      </c>
      <c r="H224" s="32">
        <f t="shared" si="54"/>
        <v>0</v>
      </c>
      <c r="I224" s="32">
        <f t="shared" si="55"/>
        <v>0</v>
      </c>
      <c r="J224" s="32">
        <f t="shared" si="56"/>
        <v>0</v>
      </c>
      <c r="K224" s="32">
        <f t="shared" si="57"/>
        <v>0</v>
      </c>
      <c r="L224" s="32">
        <f t="shared" si="58"/>
        <v>0</v>
      </c>
      <c r="M224" s="32">
        <f t="shared" ca="1" si="59"/>
        <v>7.4214468061546803E-3</v>
      </c>
      <c r="N224" s="32">
        <f t="shared" ca="1" si="60"/>
        <v>0</v>
      </c>
      <c r="O224" s="122">
        <f t="shared" ca="1" si="61"/>
        <v>0</v>
      </c>
      <c r="P224" s="32">
        <f t="shared" ca="1" si="62"/>
        <v>0</v>
      </c>
      <c r="Q224" s="32">
        <f t="shared" ca="1" si="63"/>
        <v>0</v>
      </c>
      <c r="R224" s="16">
        <f t="shared" ca="1" si="64"/>
        <v>-7.4214468061546803E-3</v>
      </c>
    </row>
    <row r="225" spans="1:18">
      <c r="A225" s="71"/>
      <c r="B225" s="71"/>
      <c r="C225" s="71"/>
      <c r="D225" s="72">
        <f t="shared" si="50"/>
        <v>0</v>
      </c>
      <c r="E225" s="72">
        <f t="shared" si="51"/>
        <v>0</v>
      </c>
      <c r="F225" s="32">
        <f t="shared" si="52"/>
        <v>0</v>
      </c>
      <c r="G225" s="32">
        <f t="shared" si="53"/>
        <v>0</v>
      </c>
      <c r="H225" s="32">
        <f t="shared" si="54"/>
        <v>0</v>
      </c>
      <c r="I225" s="32">
        <f t="shared" si="55"/>
        <v>0</v>
      </c>
      <c r="J225" s="32">
        <f t="shared" si="56"/>
        <v>0</v>
      </c>
      <c r="K225" s="32">
        <f t="shared" si="57"/>
        <v>0</v>
      </c>
      <c r="L225" s="32">
        <f t="shared" si="58"/>
        <v>0</v>
      </c>
      <c r="M225" s="32">
        <f t="shared" ca="1" si="59"/>
        <v>7.4214468061546803E-3</v>
      </c>
      <c r="N225" s="32">
        <f t="shared" ca="1" si="60"/>
        <v>0</v>
      </c>
      <c r="O225" s="122">
        <f t="shared" ca="1" si="61"/>
        <v>0</v>
      </c>
      <c r="P225" s="32">
        <f t="shared" ca="1" si="62"/>
        <v>0</v>
      </c>
      <c r="Q225" s="32">
        <f t="shared" ca="1" si="63"/>
        <v>0</v>
      </c>
      <c r="R225" s="16">
        <f t="shared" ca="1" si="64"/>
        <v>-7.4214468061546803E-3</v>
      </c>
    </row>
    <row r="226" spans="1:18">
      <c r="A226" s="71"/>
      <c r="B226" s="71"/>
      <c r="C226" s="71"/>
      <c r="D226" s="72">
        <f t="shared" si="50"/>
        <v>0</v>
      </c>
      <c r="E226" s="72">
        <f t="shared" si="51"/>
        <v>0</v>
      </c>
      <c r="F226" s="32">
        <f t="shared" si="52"/>
        <v>0</v>
      </c>
      <c r="G226" s="32">
        <f t="shared" si="53"/>
        <v>0</v>
      </c>
      <c r="H226" s="32">
        <f t="shared" si="54"/>
        <v>0</v>
      </c>
      <c r="I226" s="32">
        <f t="shared" si="55"/>
        <v>0</v>
      </c>
      <c r="J226" s="32">
        <f t="shared" si="56"/>
        <v>0</v>
      </c>
      <c r="K226" s="32">
        <f t="shared" si="57"/>
        <v>0</v>
      </c>
      <c r="L226" s="32">
        <f t="shared" si="58"/>
        <v>0</v>
      </c>
      <c r="M226" s="32">
        <f t="shared" ca="1" si="59"/>
        <v>7.4214468061546803E-3</v>
      </c>
      <c r="N226" s="32">
        <f t="shared" ca="1" si="60"/>
        <v>0</v>
      </c>
      <c r="O226" s="122">
        <f t="shared" ca="1" si="61"/>
        <v>0</v>
      </c>
      <c r="P226" s="32">
        <f t="shared" ca="1" si="62"/>
        <v>0</v>
      </c>
      <c r="Q226" s="32">
        <f t="shared" ca="1" si="63"/>
        <v>0</v>
      </c>
      <c r="R226" s="16">
        <f t="shared" ca="1" si="64"/>
        <v>-7.4214468061546803E-3</v>
      </c>
    </row>
    <row r="227" spans="1:18">
      <c r="A227" s="71"/>
      <c r="B227" s="71"/>
      <c r="C227" s="71"/>
      <c r="D227" s="72">
        <f t="shared" si="50"/>
        <v>0</v>
      </c>
      <c r="E227" s="72">
        <f t="shared" si="51"/>
        <v>0</v>
      </c>
      <c r="F227" s="32">
        <f t="shared" si="52"/>
        <v>0</v>
      </c>
      <c r="G227" s="32">
        <f t="shared" si="53"/>
        <v>0</v>
      </c>
      <c r="H227" s="32">
        <f t="shared" si="54"/>
        <v>0</v>
      </c>
      <c r="I227" s="32">
        <f t="shared" si="55"/>
        <v>0</v>
      </c>
      <c r="J227" s="32">
        <f t="shared" si="56"/>
        <v>0</v>
      </c>
      <c r="K227" s="32">
        <f t="shared" si="57"/>
        <v>0</v>
      </c>
      <c r="L227" s="32">
        <f t="shared" si="58"/>
        <v>0</v>
      </c>
      <c r="M227" s="32">
        <f t="shared" ca="1" si="59"/>
        <v>7.4214468061546803E-3</v>
      </c>
      <c r="N227" s="32">
        <f t="shared" ca="1" si="60"/>
        <v>0</v>
      </c>
      <c r="O227" s="122">
        <f t="shared" ca="1" si="61"/>
        <v>0</v>
      </c>
      <c r="P227" s="32">
        <f t="shared" ca="1" si="62"/>
        <v>0</v>
      </c>
      <c r="Q227" s="32">
        <f t="shared" ca="1" si="63"/>
        <v>0</v>
      </c>
      <c r="R227" s="16">
        <f t="shared" ca="1" si="64"/>
        <v>-7.4214468061546803E-3</v>
      </c>
    </row>
    <row r="228" spans="1:18">
      <c r="A228" s="71"/>
      <c r="B228" s="71"/>
      <c r="C228" s="71"/>
      <c r="D228" s="72">
        <f t="shared" si="50"/>
        <v>0</v>
      </c>
      <c r="E228" s="72">
        <f t="shared" si="51"/>
        <v>0</v>
      </c>
      <c r="F228" s="32">
        <f t="shared" si="52"/>
        <v>0</v>
      </c>
      <c r="G228" s="32">
        <f t="shared" si="53"/>
        <v>0</v>
      </c>
      <c r="H228" s="32">
        <f t="shared" si="54"/>
        <v>0</v>
      </c>
      <c r="I228" s="32">
        <f t="shared" si="55"/>
        <v>0</v>
      </c>
      <c r="J228" s="32">
        <f t="shared" si="56"/>
        <v>0</v>
      </c>
      <c r="K228" s="32">
        <f t="shared" si="57"/>
        <v>0</v>
      </c>
      <c r="L228" s="32">
        <f t="shared" si="58"/>
        <v>0</v>
      </c>
      <c r="M228" s="32">
        <f t="shared" ca="1" si="59"/>
        <v>7.4214468061546803E-3</v>
      </c>
      <c r="N228" s="32">
        <f t="shared" ca="1" si="60"/>
        <v>0</v>
      </c>
      <c r="O228" s="122">
        <f t="shared" ca="1" si="61"/>
        <v>0</v>
      </c>
      <c r="P228" s="32">
        <f t="shared" ca="1" si="62"/>
        <v>0</v>
      </c>
      <c r="Q228" s="32">
        <f t="shared" ca="1" si="63"/>
        <v>0</v>
      </c>
      <c r="R228" s="16">
        <f t="shared" ca="1" si="64"/>
        <v>-7.4214468061546803E-3</v>
      </c>
    </row>
    <row r="229" spans="1:18">
      <c r="A229" s="71"/>
      <c r="B229" s="71"/>
      <c r="C229" s="71"/>
      <c r="D229" s="72">
        <f t="shared" si="50"/>
        <v>0</v>
      </c>
      <c r="E229" s="72">
        <f t="shared" si="51"/>
        <v>0</v>
      </c>
      <c r="F229" s="32">
        <f t="shared" si="52"/>
        <v>0</v>
      </c>
      <c r="G229" s="32">
        <f t="shared" si="53"/>
        <v>0</v>
      </c>
      <c r="H229" s="32">
        <f t="shared" si="54"/>
        <v>0</v>
      </c>
      <c r="I229" s="32">
        <f t="shared" si="55"/>
        <v>0</v>
      </c>
      <c r="J229" s="32">
        <f t="shared" si="56"/>
        <v>0</v>
      </c>
      <c r="K229" s="32">
        <f t="shared" si="57"/>
        <v>0</v>
      </c>
      <c r="L229" s="32">
        <f t="shared" si="58"/>
        <v>0</v>
      </c>
      <c r="M229" s="32">
        <f t="shared" ca="1" si="59"/>
        <v>7.4214468061546803E-3</v>
      </c>
      <c r="N229" s="32">
        <f t="shared" ca="1" si="60"/>
        <v>0</v>
      </c>
      <c r="O229" s="122">
        <f t="shared" ca="1" si="61"/>
        <v>0</v>
      </c>
      <c r="P229" s="32">
        <f t="shared" ca="1" si="62"/>
        <v>0</v>
      </c>
      <c r="Q229" s="32">
        <f t="shared" ca="1" si="63"/>
        <v>0</v>
      </c>
      <c r="R229" s="16">
        <f t="shared" ca="1" si="64"/>
        <v>-7.4214468061546803E-3</v>
      </c>
    </row>
    <row r="230" spans="1:18">
      <c r="A230" s="71"/>
      <c r="B230" s="71"/>
      <c r="C230" s="71"/>
      <c r="D230" s="72">
        <f t="shared" si="50"/>
        <v>0</v>
      </c>
      <c r="E230" s="72">
        <f t="shared" si="51"/>
        <v>0</v>
      </c>
      <c r="F230" s="32">
        <f t="shared" si="52"/>
        <v>0</v>
      </c>
      <c r="G230" s="32">
        <f t="shared" si="53"/>
        <v>0</v>
      </c>
      <c r="H230" s="32">
        <f t="shared" si="54"/>
        <v>0</v>
      </c>
      <c r="I230" s="32">
        <f t="shared" si="55"/>
        <v>0</v>
      </c>
      <c r="J230" s="32">
        <f t="shared" si="56"/>
        <v>0</v>
      </c>
      <c r="K230" s="32">
        <f t="shared" si="57"/>
        <v>0</v>
      </c>
      <c r="L230" s="32">
        <f t="shared" si="58"/>
        <v>0</v>
      </c>
      <c r="M230" s="32">
        <f t="shared" ca="1" si="59"/>
        <v>7.4214468061546803E-3</v>
      </c>
      <c r="N230" s="32">
        <f t="shared" ca="1" si="60"/>
        <v>0</v>
      </c>
      <c r="O230" s="122">
        <f t="shared" ca="1" si="61"/>
        <v>0</v>
      </c>
      <c r="P230" s="32">
        <f t="shared" ca="1" si="62"/>
        <v>0</v>
      </c>
      <c r="Q230" s="32">
        <f t="shared" ca="1" si="63"/>
        <v>0</v>
      </c>
      <c r="R230" s="16">
        <f t="shared" ca="1" si="64"/>
        <v>-7.4214468061546803E-3</v>
      </c>
    </row>
    <row r="231" spans="1:18">
      <c r="A231" s="71"/>
      <c r="B231" s="71"/>
      <c r="C231" s="71"/>
      <c r="D231" s="72">
        <f t="shared" si="50"/>
        <v>0</v>
      </c>
      <c r="E231" s="72">
        <f t="shared" si="51"/>
        <v>0</v>
      </c>
      <c r="F231" s="32">
        <f t="shared" si="52"/>
        <v>0</v>
      </c>
      <c r="G231" s="32">
        <f t="shared" si="53"/>
        <v>0</v>
      </c>
      <c r="H231" s="32">
        <f t="shared" si="54"/>
        <v>0</v>
      </c>
      <c r="I231" s="32">
        <f t="shared" si="55"/>
        <v>0</v>
      </c>
      <c r="J231" s="32">
        <f t="shared" si="56"/>
        <v>0</v>
      </c>
      <c r="K231" s="32">
        <f t="shared" si="57"/>
        <v>0</v>
      </c>
      <c r="L231" s="32">
        <f t="shared" si="58"/>
        <v>0</v>
      </c>
      <c r="M231" s="32">
        <f t="shared" ca="1" si="59"/>
        <v>7.4214468061546803E-3</v>
      </c>
      <c r="N231" s="32">
        <f t="shared" ca="1" si="60"/>
        <v>0</v>
      </c>
      <c r="O231" s="122">
        <f t="shared" ca="1" si="61"/>
        <v>0</v>
      </c>
      <c r="P231" s="32">
        <f t="shared" ca="1" si="62"/>
        <v>0</v>
      </c>
      <c r="Q231" s="32">
        <f t="shared" ca="1" si="63"/>
        <v>0</v>
      </c>
      <c r="R231" s="16">
        <f t="shared" ca="1" si="64"/>
        <v>-7.4214468061546803E-3</v>
      </c>
    </row>
    <row r="232" spans="1:18">
      <c r="A232" s="71"/>
      <c r="B232" s="71"/>
      <c r="C232" s="71"/>
      <c r="D232" s="72">
        <f t="shared" si="50"/>
        <v>0</v>
      </c>
      <c r="E232" s="72">
        <f t="shared" si="51"/>
        <v>0</v>
      </c>
      <c r="F232" s="32">
        <f t="shared" si="52"/>
        <v>0</v>
      </c>
      <c r="G232" s="32">
        <f t="shared" si="53"/>
        <v>0</v>
      </c>
      <c r="H232" s="32">
        <f t="shared" si="54"/>
        <v>0</v>
      </c>
      <c r="I232" s="32">
        <f t="shared" si="55"/>
        <v>0</v>
      </c>
      <c r="J232" s="32">
        <f t="shared" si="56"/>
        <v>0</v>
      </c>
      <c r="K232" s="32">
        <f t="shared" si="57"/>
        <v>0</v>
      </c>
      <c r="L232" s="32">
        <f t="shared" si="58"/>
        <v>0</v>
      </c>
      <c r="M232" s="32">
        <f t="shared" ca="1" si="59"/>
        <v>7.4214468061546803E-3</v>
      </c>
      <c r="N232" s="32">
        <f t="shared" ca="1" si="60"/>
        <v>0</v>
      </c>
      <c r="O232" s="122">
        <f t="shared" ca="1" si="61"/>
        <v>0</v>
      </c>
      <c r="P232" s="32">
        <f t="shared" ca="1" si="62"/>
        <v>0</v>
      </c>
      <c r="Q232" s="32">
        <f t="shared" ca="1" si="63"/>
        <v>0</v>
      </c>
      <c r="R232" s="16">
        <f t="shared" ca="1" si="64"/>
        <v>-7.4214468061546803E-3</v>
      </c>
    </row>
    <row r="233" spans="1:18">
      <c r="A233" s="71"/>
      <c r="B233" s="71"/>
      <c r="C233" s="71"/>
      <c r="D233" s="72">
        <f t="shared" si="50"/>
        <v>0</v>
      </c>
      <c r="E233" s="72">
        <f t="shared" si="51"/>
        <v>0</v>
      </c>
      <c r="F233" s="32">
        <f t="shared" si="52"/>
        <v>0</v>
      </c>
      <c r="G233" s="32">
        <f t="shared" si="53"/>
        <v>0</v>
      </c>
      <c r="H233" s="32">
        <f t="shared" si="54"/>
        <v>0</v>
      </c>
      <c r="I233" s="32">
        <f t="shared" si="55"/>
        <v>0</v>
      </c>
      <c r="J233" s="32">
        <f t="shared" si="56"/>
        <v>0</v>
      </c>
      <c r="K233" s="32">
        <f t="shared" si="57"/>
        <v>0</v>
      </c>
      <c r="L233" s="32">
        <f t="shared" si="58"/>
        <v>0</v>
      </c>
      <c r="M233" s="32">
        <f t="shared" ca="1" si="59"/>
        <v>7.4214468061546803E-3</v>
      </c>
      <c r="N233" s="32">
        <f t="shared" ca="1" si="60"/>
        <v>0</v>
      </c>
      <c r="O233" s="122">
        <f t="shared" ca="1" si="61"/>
        <v>0</v>
      </c>
      <c r="P233" s="32">
        <f t="shared" ca="1" si="62"/>
        <v>0</v>
      </c>
      <c r="Q233" s="32">
        <f t="shared" ca="1" si="63"/>
        <v>0</v>
      </c>
      <c r="R233" s="16">
        <f t="shared" ca="1" si="64"/>
        <v>-7.4214468061546803E-3</v>
      </c>
    </row>
    <row r="234" spans="1:18">
      <c r="A234" s="71"/>
      <c r="B234" s="71"/>
      <c r="C234" s="71"/>
      <c r="D234" s="72">
        <f t="shared" si="50"/>
        <v>0</v>
      </c>
      <c r="E234" s="72">
        <f t="shared" si="51"/>
        <v>0</v>
      </c>
      <c r="F234" s="32">
        <f t="shared" si="52"/>
        <v>0</v>
      </c>
      <c r="G234" s="32">
        <f t="shared" si="53"/>
        <v>0</v>
      </c>
      <c r="H234" s="32">
        <f t="shared" si="54"/>
        <v>0</v>
      </c>
      <c r="I234" s="32">
        <f t="shared" si="55"/>
        <v>0</v>
      </c>
      <c r="J234" s="32">
        <f t="shared" si="56"/>
        <v>0</v>
      </c>
      <c r="K234" s="32">
        <f t="shared" si="57"/>
        <v>0</v>
      </c>
      <c r="L234" s="32">
        <f t="shared" si="58"/>
        <v>0</v>
      </c>
      <c r="M234" s="32">
        <f t="shared" ca="1" si="59"/>
        <v>7.4214468061546803E-3</v>
      </c>
      <c r="N234" s="32">
        <f t="shared" ca="1" si="60"/>
        <v>0</v>
      </c>
      <c r="O234" s="122">
        <f t="shared" ca="1" si="61"/>
        <v>0</v>
      </c>
      <c r="P234" s="32">
        <f t="shared" ca="1" si="62"/>
        <v>0</v>
      </c>
      <c r="Q234" s="32">
        <f t="shared" ca="1" si="63"/>
        <v>0</v>
      </c>
      <c r="R234" s="16">
        <f t="shared" ca="1" si="64"/>
        <v>-7.4214468061546803E-3</v>
      </c>
    </row>
    <row r="235" spans="1:18">
      <c r="A235" s="71"/>
      <c r="B235" s="71"/>
      <c r="C235" s="71"/>
      <c r="D235" s="72">
        <f t="shared" si="50"/>
        <v>0</v>
      </c>
      <c r="E235" s="72">
        <f t="shared" si="51"/>
        <v>0</v>
      </c>
      <c r="F235" s="32">
        <f t="shared" si="52"/>
        <v>0</v>
      </c>
      <c r="G235" s="32">
        <f t="shared" si="53"/>
        <v>0</v>
      </c>
      <c r="H235" s="32">
        <f t="shared" si="54"/>
        <v>0</v>
      </c>
      <c r="I235" s="32">
        <f t="shared" si="55"/>
        <v>0</v>
      </c>
      <c r="J235" s="32">
        <f t="shared" si="56"/>
        <v>0</v>
      </c>
      <c r="K235" s="32">
        <f t="shared" si="57"/>
        <v>0</v>
      </c>
      <c r="L235" s="32">
        <f t="shared" si="58"/>
        <v>0</v>
      </c>
      <c r="M235" s="32">
        <f t="shared" ca="1" si="59"/>
        <v>7.4214468061546803E-3</v>
      </c>
      <c r="N235" s="32">
        <f t="shared" ca="1" si="60"/>
        <v>0</v>
      </c>
      <c r="O235" s="122">
        <f t="shared" ca="1" si="61"/>
        <v>0</v>
      </c>
      <c r="P235" s="32">
        <f t="shared" ca="1" si="62"/>
        <v>0</v>
      </c>
      <c r="Q235" s="32">
        <f t="shared" ca="1" si="63"/>
        <v>0</v>
      </c>
      <c r="R235" s="16">
        <f t="shared" ca="1" si="64"/>
        <v>-7.4214468061546803E-3</v>
      </c>
    </row>
    <row r="236" spans="1:18">
      <c r="A236" s="71"/>
      <c r="B236" s="71"/>
      <c r="C236" s="71"/>
      <c r="D236" s="72">
        <f t="shared" si="50"/>
        <v>0</v>
      </c>
      <c r="E236" s="72">
        <f t="shared" si="51"/>
        <v>0</v>
      </c>
      <c r="F236" s="32">
        <f t="shared" si="52"/>
        <v>0</v>
      </c>
      <c r="G236" s="32">
        <f t="shared" si="53"/>
        <v>0</v>
      </c>
      <c r="H236" s="32">
        <f t="shared" si="54"/>
        <v>0</v>
      </c>
      <c r="I236" s="32">
        <f t="shared" si="55"/>
        <v>0</v>
      </c>
      <c r="J236" s="32">
        <f t="shared" si="56"/>
        <v>0</v>
      </c>
      <c r="K236" s="32">
        <f t="shared" si="57"/>
        <v>0</v>
      </c>
      <c r="L236" s="32">
        <f t="shared" si="58"/>
        <v>0</v>
      </c>
      <c r="M236" s="32">
        <f t="shared" ca="1" si="59"/>
        <v>7.4214468061546803E-3</v>
      </c>
      <c r="N236" s="32">
        <f t="shared" ca="1" si="60"/>
        <v>0</v>
      </c>
      <c r="O236" s="122">
        <f t="shared" ca="1" si="61"/>
        <v>0</v>
      </c>
      <c r="P236" s="32">
        <f t="shared" ca="1" si="62"/>
        <v>0</v>
      </c>
      <c r="Q236" s="32">
        <f t="shared" ca="1" si="63"/>
        <v>0</v>
      </c>
      <c r="R236" s="16">
        <f t="shared" ca="1" si="64"/>
        <v>-7.4214468061546803E-3</v>
      </c>
    </row>
    <row r="237" spans="1:18">
      <c r="A237" s="71"/>
      <c r="B237" s="71"/>
      <c r="C237" s="71"/>
      <c r="D237" s="72">
        <f t="shared" si="50"/>
        <v>0</v>
      </c>
      <c r="E237" s="72">
        <f t="shared" si="51"/>
        <v>0</v>
      </c>
      <c r="F237" s="32">
        <f t="shared" si="52"/>
        <v>0</v>
      </c>
      <c r="G237" s="32">
        <f t="shared" si="53"/>
        <v>0</v>
      </c>
      <c r="H237" s="32">
        <f t="shared" si="54"/>
        <v>0</v>
      </c>
      <c r="I237" s="32">
        <f t="shared" si="55"/>
        <v>0</v>
      </c>
      <c r="J237" s="32">
        <f t="shared" si="56"/>
        <v>0</v>
      </c>
      <c r="K237" s="32">
        <f t="shared" si="57"/>
        <v>0</v>
      </c>
      <c r="L237" s="32">
        <f t="shared" si="58"/>
        <v>0</v>
      </c>
      <c r="M237" s="32">
        <f t="shared" ca="1" si="59"/>
        <v>7.4214468061546803E-3</v>
      </c>
      <c r="N237" s="32">
        <f t="shared" ca="1" si="60"/>
        <v>0</v>
      </c>
      <c r="O237" s="122">
        <f t="shared" ca="1" si="61"/>
        <v>0</v>
      </c>
      <c r="P237" s="32">
        <f t="shared" ca="1" si="62"/>
        <v>0</v>
      </c>
      <c r="Q237" s="32">
        <f t="shared" ca="1" si="63"/>
        <v>0</v>
      </c>
      <c r="R237" s="16">
        <f t="shared" ca="1" si="64"/>
        <v>-7.4214468061546803E-3</v>
      </c>
    </row>
    <row r="238" spans="1:18">
      <c r="A238" s="71"/>
      <c r="B238" s="71"/>
      <c r="C238" s="71"/>
      <c r="D238" s="72">
        <f t="shared" si="50"/>
        <v>0</v>
      </c>
      <c r="E238" s="72">
        <f t="shared" si="51"/>
        <v>0</v>
      </c>
      <c r="F238" s="32">
        <f t="shared" si="52"/>
        <v>0</v>
      </c>
      <c r="G238" s="32">
        <f t="shared" si="53"/>
        <v>0</v>
      </c>
      <c r="H238" s="32">
        <f t="shared" si="54"/>
        <v>0</v>
      </c>
      <c r="I238" s="32">
        <f t="shared" si="55"/>
        <v>0</v>
      </c>
      <c r="J238" s="32">
        <f t="shared" si="56"/>
        <v>0</v>
      </c>
      <c r="K238" s="32">
        <f t="shared" si="57"/>
        <v>0</v>
      </c>
      <c r="L238" s="32">
        <f t="shared" si="58"/>
        <v>0</v>
      </c>
      <c r="M238" s="32">
        <f t="shared" ca="1" si="59"/>
        <v>7.4214468061546803E-3</v>
      </c>
      <c r="N238" s="32">
        <f t="shared" ca="1" si="60"/>
        <v>0</v>
      </c>
      <c r="O238" s="122">
        <f t="shared" ca="1" si="61"/>
        <v>0</v>
      </c>
      <c r="P238" s="32">
        <f t="shared" ca="1" si="62"/>
        <v>0</v>
      </c>
      <c r="Q238" s="32">
        <f t="shared" ca="1" si="63"/>
        <v>0</v>
      </c>
      <c r="R238" s="16">
        <f t="shared" ca="1" si="64"/>
        <v>-7.4214468061546803E-3</v>
      </c>
    </row>
    <row r="239" spans="1:18">
      <c r="A239" s="71"/>
      <c r="B239" s="71"/>
      <c r="C239" s="71"/>
      <c r="D239" s="72">
        <f t="shared" si="50"/>
        <v>0</v>
      </c>
      <c r="E239" s="72">
        <f t="shared" si="51"/>
        <v>0</v>
      </c>
      <c r="F239" s="32">
        <f t="shared" si="52"/>
        <v>0</v>
      </c>
      <c r="G239" s="32">
        <f t="shared" si="53"/>
        <v>0</v>
      </c>
      <c r="H239" s="32">
        <f t="shared" si="54"/>
        <v>0</v>
      </c>
      <c r="I239" s="32">
        <f t="shared" si="55"/>
        <v>0</v>
      </c>
      <c r="J239" s="32">
        <f t="shared" si="56"/>
        <v>0</v>
      </c>
      <c r="K239" s="32">
        <f t="shared" si="57"/>
        <v>0</v>
      </c>
      <c r="L239" s="32">
        <f t="shared" si="58"/>
        <v>0</v>
      </c>
      <c r="M239" s="32">
        <f t="shared" ca="1" si="59"/>
        <v>7.4214468061546803E-3</v>
      </c>
      <c r="N239" s="32">
        <f t="shared" ca="1" si="60"/>
        <v>0</v>
      </c>
      <c r="O239" s="122">
        <f t="shared" ca="1" si="61"/>
        <v>0</v>
      </c>
      <c r="P239" s="32">
        <f t="shared" ca="1" si="62"/>
        <v>0</v>
      </c>
      <c r="Q239" s="32">
        <f t="shared" ca="1" si="63"/>
        <v>0</v>
      </c>
      <c r="R239" s="16">
        <f t="shared" ca="1" si="64"/>
        <v>-7.4214468061546803E-3</v>
      </c>
    </row>
    <row r="240" spans="1:18">
      <c r="A240" s="71"/>
      <c r="B240" s="71"/>
      <c r="C240" s="71"/>
      <c r="D240" s="72">
        <f t="shared" si="50"/>
        <v>0</v>
      </c>
      <c r="E240" s="72">
        <f t="shared" si="51"/>
        <v>0</v>
      </c>
      <c r="F240" s="32">
        <f t="shared" si="52"/>
        <v>0</v>
      </c>
      <c r="G240" s="32">
        <f t="shared" si="53"/>
        <v>0</v>
      </c>
      <c r="H240" s="32">
        <f t="shared" si="54"/>
        <v>0</v>
      </c>
      <c r="I240" s="32">
        <f t="shared" si="55"/>
        <v>0</v>
      </c>
      <c r="J240" s="32">
        <f t="shared" si="56"/>
        <v>0</v>
      </c>
      <c r="K240" s="32">
        <f t="shared" si="57"/>
        <v>0</v>
      </c>
      <c r="L240" s="32">
        <f t="shared" si="58"/>
        <v>0</v>
      </c>
      <c r="M240" s="32">
        <f t="shared" ca="1" si="59"/>
        <v>7.4214468061546803E-3</v>
      </c>
      <c r="N240" s="32">
        <f t="shared" ca="1" si="60"/>
        <v>0</v>
      </c>
      <c r="O240" s="122">
        <f t="shared" ca="1" si="61"/>
        <v>0</v>
      </c>
      <c r="P240" s="32">
        <f t="shared" ca="1" si="62"/>
        <v>0</v>
      </c>
      <c r="Q240" s="32">
        <f t="shared" ca="1" si="63"/>
        <v>0</v>
      </c>
      <c r="R240" s="16">
        <f t="shared" ca="1" si="64"/>
        <v>-7.4214468061546803E-3</v>
      </c>
    </row>
    <row r="241" spans="1:18">
      <c r="A241" s="71"/>
      <c r="B241" s="71"/>
      <c r="C241" s="71"/>
      <c r="D241" s="72">
        <f t="shared" si="50"/>
        <v>0</v>
      </c>
      <c r="E241" s="72">
        <f t="shared" si="51"/>
        <v>0</v>
      </c>
      <c r="F241" s="32">
        <f t="shared" si="52"/>
        <v>0</v>
      </c>
      <c r="G241" s="32">
        <f t="shared" si="53"/>
        <v>0</v>
      </c>
      <c r="H241" s="32">
        <f t="shared" si="54"/>
        <v>0</v>
      </c>
      <c r="I241" s="32">
        <f t="shared" si="55"/>
        <v>0</v>
      </c>
      <c r="J241" s="32">
        <f t="shared" si="56"/>
        <v>0</v>
      </c>
      <c r="K241" s="32">
        <f t="shared" si="57"/>
        <v>0</v>
      </c>
      <c r="L241" s="32">
        <f t="shared" si="58"/>
        <v>0</v>
      </c>
      <c r="M241" s="32">
        <f t="shared" ca="1" si="59"/>
        <v>7.4214468061546803E-3</v>
      </c>
      <c r="N241" s="32">
        <f t="shared" ca="1" si="60"/>
        <v>0</v>
      </c>
      <c r="O241" s="122">
        <f t="shared" ca="1" si="61"/>
        <v>0</v>
      </c>
      <c r="P241" s="32">
        <f t="shared" ca="1" si="62"/>
        <v>0</v>
      </c>
      <c r="Q241" s="32">
        <f t="shared" ca="1" si="63"/>
        <v>0</v>
      </c>
      <c r="R241" s="16">
        <f t="shared" ca="1" si="64"/>
        <v>-7.4214468061546803E-3</v>
      </c>
    </row>
    <row r="242" spans="1:18">
      <c r="A242" s="71"/>
      <c r="B242" s="71"/>
      <c r="C242" s="71"/>
      <c r="D242" s="72">
        <f t="shared" si="50"/>
        <v>0</v>
      </c>
      <c r="E242" s="72">
        <f t="shared" si="51"/>
        <v>0</v>
      </c>
      <c r="F242" s="32">
        <f t="shared" si="52"/>
        <v>0</v>
      </c>
      <c r="G242" s="32">
        <f t="shared" si="53"/>
        <v>0</v>
      </c>
      <c r="H242" s="32">
        <f t="shared" si="54"/>
        <v>0</v>
      </c>
      <c r="I242" s="32">
        <f t="shared" si="55"/>
        <v>0</v>
      </c>
      <c r="J242" s="32">
        <f t="shared" si="56"/>
        <v>0</v>
      </c>
      <c r="K242" s="32">
        <f t="shared" si="57"/>
        <v>0</v>
      </c>
      <c r="L242" s="32">
        <f t="shared" si="58"/>
        <v>0</v>
      </c>
      <c r="M242" s="32">
        <f t="shared" ca="1" si="59"/>
        <v>7.4214468061546803E-3</v>
      </c>
      <c r="N242" s="32">
        <f t="shared" ca="1" si="60"/>
        <v>0</v>
      </c>
      <c r="O242" s="122">
        <f t="shared" ca="1" si="61"/>
        <v>0</v>
      </c>
      <c r="P242" s="32">
        <f t="shared" ca="1" si="62"/>
        <v>0</v>
      </c>
      <c r="Q242" s="32">
        <f t="shared" ca="1" si="63"/>
        <v>0</v>
      </c>
      <c r="R242" s="16">
        <f t="shared" ca="1" si="64"/>
        <v>-7.4214468061546803E-3</v>
      </c>
    </row>
    <row r="243" spans="1:18">
      <c r="A243" s="71"/>
      <c r="B243" s="71"/>
      <c r="C243" s="71"/>
      <c r="D243" s="72">
        <f t="shared" si="50"/>
        <v>0</v>
      </c>
      <c r="E243" s="72">
        <f t="shared" si="51"/>
        <v>0</v>
      </c>
      <c r="F243" s="32">
        <f t="shared" si="52"/>
        <v>0</v>
      </c>
      <c r="G243" s="32">
        <f t="shared" si="53"/>
        <v>0</v>
      </c>
      <c r="H243" s="32">
        <f t="shared" si="54"/>
        <v>0</v>
      </c>
      <c r="I243" s="32">
        <f t="shared" si="55"/>
        <v>0</v>
      </c>
      <c r="J243" s="32">
        <f t="shared" si="56"/>
        <v>0</v>
      </c>
      <c r="K243" s="32">
        <f t="shared" si="57"/>
        <v>0</v>
      </c>
      <c r="L243" s="32">
        <f t="shared" si="58"/>
        <v>0</v>
      </c>
      <c r="M243" s="32">
        <f t="shared" ca="1" si="59"/>
        <v>7.4214468061546803E-3</v>
      </c>
      <c r="N243" s="32">
        <f t="shared" ca="1" si="60"/>
        <v>0</v>
      </c>
      <c r="O243" s="122">
        <f t="shared" ca="1" si="61"/>
        <v>0</v>
      </c>
      <c r="P243" s="32">
        <f t="shared" ca="1" si="62"/>
        <v>0</v>
      </c>
      <c r="Q243" s="32">
        <f t="shared" ca="1" si="63"/>
        <v>0</v>
      </c>
      <c r="R243" s="16">
        <f t="shared" ca="1" si="64"/>
        <v>-7.4214468061546803E-3</v>
      </c>
    </row>
    <row r="244" spans="1:18">
      <c r="A244" s="71"/>
      <c r="B244" s="71"/>
      <c r="C244" s="71"/>
      <c r="D244" s="72">
        <f t="shared" si="50"/>
        <v>0</v>
      </c>
      <c r="E244" s="72">
        <f t="shared" si="51"/>
        <v>0</v>
      </c>
      <c r="F244" s="32">
        <f t="shared" si="52"/>
        <v>0</v>
      </c>
      <c r="G244" s="32">
        <f t="shared" si="53"/>
        <v>0</v>
      </c>
      <c r="H244" s="32">
        <f t="shared" si="54"/>
        <v>0</v>
      </c>
      <c r="I244" s="32">
        <f t="shared" si="55"/>
        <v>0</v>
      </c>
      <c r="J244" s="32">
        <f t="shared" si="56"/>
        <v>0</v>
      </c>
      <c r="K244" s="32">
        <f t="shared" si="57"/>
        <v>0</v>
      </c>
      <c r="L244" s="32">
        <f t="shared" si="58"/>
        <v>0</v>
      </c>
      <c r="M244" s="32">
        <f t="shared" ca="1" si="59"/>
        <v>7.4214468061546803E-3</v>
      </c>
      <c r="N244" s="32">
        <f t="shared" ca="1" si="60"/>
        <v>0</v>
      </c>
      <c r="O244" s="122">
        <f t="shared" ca="1" si="61"/>
        <v>0</v>
      </c>
      <c r="P244" s="32">
        <f t="shared" ca="1" si="62"/>
        <v>0</v>
      </c>
      <c r="Q244" s="32">
        <f t="shared" ca="1" si="63"/>
        <v>0</v>
      </c>
      <c r="R244" s="16">
        <f t="shared" ca="1" si="64"/>
        <v>-7.4214468061546803E-3</v>
      </c>
    </row>
    <row r="245" spans="1:18">
      <c r="A245" s="71"/>
      <c r="B245" s="71"/>
      <c r="C245" s="71"/>
      <c r="D245" s="72">
        <f t="shared" si="50"/>
        <v>0</v>
      </c>
      <c r="E245" s="72">
        <f t="shared" si="51"/>
        <v>0</v>
      </c>
      <c r="F245" s="32">
        <f t="shared" si="52"/>
        <v>0</v>
      </c>
      <c r="G245" s="32">
        <f t="shared" si="53"/>
        <v>0</v>
      </c>
      <c r="H245" s="32">
        <f t="shared" si="54"/>
        <v>0</v>
      </c>
      <c r="I245" s="32">
        <f t="shared" si="55"/>
        <v>0</v>
      </c>
      <c r="J245" s="32">
        <f t="shared" si="56"/>
        <v>0</v>
      </c>
      <c r="K245" s="32">
        <f t="shared" si="57"/>
        <v>0</v>
      </c>
      <c r="L245" s="32">
        <f t="shared" si="58"/>
        <v>0</v>
      </c>
      <c r="M245" s="32">
        <f t="shared" ca="1" si="59"/>
        <v>7.4214468061546803E-3</v>
      </c>
      <c r="N245" s="32">
        <f t="shared" ca="1" si="60"/>
        <v>0</v>
      </c>
      <c r="O245" s="122">
        <f t="shared" ca="1" si="61"/>
        <v>0</v>
      </c>
      <c r="P245" s="32">
        <f t="shared" ca="1" si="62"/>
        <v>0</v>
      </c>
      <c r="Q245" s="32">
        <f t="shared" ca="1" si="63"/>
        <v>0</v>
      </c>
      <c r="R245" s="16">
        <f t="shared" ca="1" si="64"/>
        <v>-7.4214468061546803E-3</v>
      </c>
    </row>
    <row r="246" spans="1:18">
      <c r="A246" s="71"/>
      <c r="B246" s="71"/>
      <c r="C246" s="71"/>
      <c r="D246" s="72">
        <f t="shared" si="50"/>
        <v>0</v>
      </c>
      <c r="E246" s="72">
        <f t="shared" si="51"/>
        <v>0</v>
      </c>
      <c r="F246" s="32">
        <f t="shared" si="52"/>
        <v>0</v>
      </c>
      <c r="G246" s="32">
        <f t="shared" si="53"/>
        <v>0</v>
      </c>
      <c r="H246" s="32">
        <f t="shared" si="54"/>
        <v>0</v>
      </c>
      <c r="I246" s="32">
        <f t="shared" si="55"/>
        <v>0</v>
      </c>
      <c r="J246" s="32">
        <f t="shared" si="56"/>
        <v>0</v>
      </c>
      <c r="K246" s="32">
        <f t="shared" si="57"/>
        <v>0</v>
      </c>
      <c r="L246" s="32">
        <f t="shared" si="58"/>
        <v>0</v>
      </c>
      <c r="M246" s="32">
        <f t="shared" ca="1" si="59"/>
        <v>7.4214468061546803E-3</v>
      </c>
      <c r="N246" s="32">
        <f t="shared" ca="1" si="60"/>
        <v>0</v>
      </c>
      <c r="O246" s="122">
        <f t="shared" ca="1" si="61"/>
        <v>0</v>
      </c>
      <c r="P246" s="32">
        <f t="shared" ca="1" si="62"/>
        <v>0</v>
      </c>
      <c r="Q246" s="32">
        <f t="shared" ca="1" si="63"/>
        <v>0</v>
      </c>
      <c r="R246" s="16">
        <f t="shared" ca="1" si="64"/>
        <v>-7.4214468061546803E-3</v>
      </c>
    </row>
    <row r="247" spans="1:18">
      <c r="A247" s="71"/>
      <c r="B247" s="71"/>
      <c r="C247" s="71"/>
      <c r="D247" s="72">
        <f t="shared" si="50"/>
        <v>0</v>
      </c>
      <c r="E247" s="72">
        <f t="shared" si="51"/>
        <v>0</v>
      </c>
      <c r="F247" s="32">
        <f t="shared" si="52"/>
        <v>0</v>
      </c>
      <c r="G247" s="32">
        <f t="shared" si="53"/>
        <v>0</v>
      </c>
      <c r="H247" s="32">
        <f t="shared" si="54"/>
        <v>0</v>
      </c>
      <c r="I247" s="32">
        <f t="shared" si="55"/>
        <v>0</v>
      </c>
      <c r="J247" s="32">
        <f t="shared" si="56"/>
        <v>0</v>
      </c>
      <c r="K247" s="32">
        <f t="shared" si="57"/>
        <v>0</v>
      </c>
      <c r="L247" s="32">
        <f t="shared" si="58"/>
        <v>0</v>
      </c>
      <c r="M247" s="32">
        <f t="shared" ca="1" si="59"/>
        <v>7.4214468061546803E-3</v>
      </c>
      <c r="N247" s="32">
        <f t="shared" ca="1" si="60"/>
        <v>0</v>
      </c>
      <c r="O247" s="122">
        <f t="shared" ca="1" si="61"/>
        <v>0</v>
      </c>
      <c r="P247" s="32">
        <f t="shared" ca="1" si="62"/>
        <v>0</v>
      </c>
      <c r="Q247" s="32">
        <f t="shared" ca="1" si="63"/>
        <v>0</v>
      </c>
      <c r="R247" s="16">
        <f t="shared" ca="1" si="64"/>
        <v>-7.4214468061546803E-3</v>
      </c>
    </row>
    <row r="248" spans="1:18">
      <c r="A248" s="71"/>
      <c r="B248" s="71"/>
      <c r="C248" s="71"/>
      <c r="D248" s="72">
        <f t="shared" si="50"/>
        <v>0</v>
      </c>
      <c r="E248" s="72">
        <f t="shared" si="51"/>
        <v>0</v>
      </c>
      <c r="F248" s="32">
        <f t="shared" si="52"/>
        <v>0</v>
      </c>
      <c r="G248" s="32">
        <f t="shared" si="53"/>
        <v>0</v>
      </c>
      <c r="H248" s="32">
        <f t="shared" si="54"/>
        <v>0</v>
      </c>
      <c r="I248" s="32">
        <f t="shared" si="55"/>
        <v>0</v>
      </c>
      <c r="J248" s="32">
        <f t="shared" si="56"/>
        <v>0</v>
      </c>
      <c r="K248" s="32">
        <f t="shared" si="57"/>
        <v>0</v>
      </c>
      <c r="L248" s="32">
        <f t="shared" si="58"/>
        <v>0</v>
      </c>
      <c r="M248" s="32">
        <f t="shared" ca="1" si="59"/>
        <v>7.4214468061546803E-3</v>
      </c>
      <c r="N248" s="32">
        <f t="shared" ca="1" si="60"/>
        <v>0</v>
      </c>
      <c r="O248" s="122">
        <f t="shared" ca="1" si="61"/>
        <v>0</v>
      </c>
      <c r="P248" s="32">
        <f t="shared" ca="1" si="62"/>
        <v>0</v>
      </c>
      <c r="Q248" s="32">
        <f t="shared" ca="1" si="63"/>
        <v>0</v>
      </c>
      <c r="R248" s="16">
        <f t="shared" ca="1" si="64"/>
        <v>-7.4214468061546803E-3</v>
      </c>
    </row>
    <row r="249" spans="1:18">
      <c r="A249" s="71"/>
      <c r="B249" s="71"/>
      <c r="C249" s="71"/>
      <c r="D249" s="72">
        <f t="shared" si="50"/>
        <v>0</v>
      </c>
      <c r="E249" s="72">
        <f t="shared" si="51"/>
        <v>0</v>
      </c>
      <c r="F249" s="32">
        <f t="shared" si="52"/>
        <v>0</v>
      </c>
      <c r="G249" s="32">
        <f t="shared" si="53"/>
        <v>0</v>
      </c>
      <c r="H249" s="32">
        <f t="shared" si="54"/>
        <v>0</v>
      </c>
      <c r="I249" s="32">
        <f t="shared" si="55"/>
        <v>0</v>
      </c>
      <c r="J249" s="32">
        <f t="shared" si="56"/>
        <v>0</v>
      </c>
      <c r="K249" s="32">
        <f t="shared" si="57"/>
        <v>0</v>
      </c>
      <c r="L249" s="32">
        <f t="shared" si="58"/>
        <v>0</v>
      </c>
      <c r="M249" s="32">
        <f t="shared" ca="1" si="59"/>
        <v>7.4214468061546803E-3</v>
      </c>
      <c r="N249" s="32">
        <f t="shared" ca="1" si="60"/>
        <v>0</v>
      </c>
      <c r="O249" s="122">
        <f t="shared" ca="1" si="61"/>
        <v>0</v>
      </c>
      <c r="P249" s="32">
        <f t="shared" ca="1" si="62"/>
        <v>0</v>
      </c>
      <c r="Q249" s="32">
        <f t="shared" ca="1" si="63"/>
        <v>0</v>
      </c>
      <c r="R249" s="16">
        <f t="shared" ca="1" si="64"/>
        <v>-7.4214468061546803E-3</v>
      </c>
    </row>
    <row r="250" spans="1:18">
      <c r="A250" s="71"/>
      <c r="B250" s="71"/>
      <c r="C250" s="71"/>
      <c r="D250" s="72">
        <f t="shared" si="50"/>
        <v>0</v>
      </c>
      <c r="E250" s="72">
        <f t="shared" si="51"/>
        <v>0</v>
      </c>
      <c r="F250" s="32">
        <f t="shared" si="52"/>
        <v>0</v>
      </c>
      <c r="G250" s="32">
        <f t="shared" si="53"/>
        <v>0</v>
      </c>
      <c r="H250" s="32">
        <f t="shared" si="54"/>
        <v>0</v>
      </c>
      <c r="I250" s="32">
        <f t="shared" si="55"/>
        <v>0</v>
      </c>
      <c r="J250" s="32">
        <f t="shared" si="56"/>
        <v>0</v>
      </c>
      <c r="K250" s="32">
        <f t="shared" si="57"/>
        <v>0</v>
      </c>
      <c r="L250" s="32">
        <f t="shared" si="58"/>
        <v>0</v>
      </c>
      <c r="M250" s="32">
        <f t="shared" ca="1" si="59"/>
        <v>7.4214468061546803E-3</v>
      </c>
      <c r="N250" s="32">
        <f t="shared" ca="1" si="60"/>
        <v>0</v>
      </c>
      <c r="O250" s="122">
        <f t="shared" ca="1" si="61"/>
        <v>0</v>
      </c>
      <c r="P250" s="32">
        <f t="shared" ca="1" si="62"/>
        <v>0</v>
      </c>
      <c r="Q250" s="32">
        <f t="shared" ca="1" si="63"/>
        <v>0</v>
      </c>
      <c r="R250" s="16">
        <f t="shared" ca="1" si="64"/>
        <v>-7.4214468061546803E-3</v>
      </c>
    </row>
    <row r="251" spans="1:18">
      <c r="A251" s="71"/>
      <c r="B251" s="71"/>
      <c r="C251" s="71"/>
      <c r="D251" s="72">
        <f t="shared" si="50"/>
        <v>0</v>
      </c>
      <c r="E251" s="72">
        <f t="shared" si="51"/>
        <v>0</v>
      </c>
      <c r="F251" s="32">
        <f t="shared" si="52"/>
        <v>0</v>
      </c>
      <c r="G251" s="32">
        <f t="shared" si="53"/>
        <v>0</v>
      </c>
      <c r="H251" s="32">
        <f t="shared" si="54"/>
        <v>0</v>
      </c>
      <c r="I251" s="32">
        <f t="shared" si="55"/>
        <v>0</v>
      </c>
      <c r="J251" s="32">
        <f t="shared" si="56"/>
        <v>0</v>
      </c>
      <c r="K251" s="32">
        <f t="shared" si="57"/>
        <v>0</v>
      </c>
      <c r="L251" s="32">
        <f t="shared" si="58"/>
        <v>0</v>
      </c>
      <c r="M251" s="32">
        <f t="shared" ca="1" si="59"/>
        <v>7.4214468061546803E-3</v>
      </c>
      <c r="N251" s="32">
        <f t="shared" ca="1" si="60"/>
        <v>0</v>
      </c>
      <c r="O251" s="122">
        <f t="shared" ca="1" si="61"/>
        <v>0</v>
      </c>
      <c r="P251" s="32">
        <f t="shared" ca="1" si="62"/>
        <v>0</v>
      </c>
      <c r="Q251" s="32">
        <f t="shared" ca="1" si="63"/>
        <v>0</v>
      </c>
      <c r="R251" s="16">
        <f t="shared" ca="1" si="64"/>
        <v>-7.4214468061546803E-3</v>
      </c>
    </row>
    <row r="252" spans="1:18">
      <c r="A252" s="71"/>
      <c r="B252" s="71"/>
      <c r="C252" s="71"/>
      <c r="D252" s="72">
        <f t="shared" si="50"/>
        <v>0</v>
      </c>
      <c r="E252" s="72">
        <f t="shared" si="51"/>
        <v>0</v>
      </c>
      <c r="F252" s="32">
        <f t="shared" si="52"/>
        <v>0</v>
      </c>
      <c r="G252" s="32">
        <f t="shared" si="53"/>
        <v>0</v>
      </c>
      <c r="H252" s="32">
        <f t="shared" si="54"/>
        <v>0</v>
      </c>
      <c r="I252" s="32">
        <f t="shared" si="55"/>
        <v>0</v>
      </c>
      <c r="J252" s="32">
        <f t="shared" si="56"/>
        <v>0</v>
      </c>
      <c r="K252" s="32">
        <f t="shared" si="57"/>
        <v>0</v>
      </c>
      <c r="L252" s="32">
        <f t="shared" si="58"/>
        <v>0</v>
      </c>
      <c r="M252" s="32">
        <f t="shared" ca="1" si="59"/>
        <v>7.4214468061546803E-3</v>
      </c>
      <c r="N252" s="32">
        <f t="shared" ca="1" si="60"/>
        <v>0</v>
      </c>
      <c r="O252" s="122">
        <f t="shared" ca="1" si="61"/>
        <v>0</v>
      </c>
      <c r="P252" s="32">
        <f t="shared" ca="1" si="62"/>
        <v>0</v>
      </c>
      <c r="Q252" s="32">
        <f t="shared" ca="1" si="63"/>
        <v>0</v>
      </c>
      <c r="R252" s="16">
        <f t="shared" ca="1" si="64"/>
        <v>-7.4214468061546803E-3</v>
      </c>
    </row>
    <row r="253" spans="1:18">
      <c r="A253" s="71"/>
      <c r="B253" s="71"/>
      <c r="C253" s="71"/>
      <c r="D253" s="72">
        <f t="shared" si="50"/>
        <v>0</v>
      </c>
      <c r="E253" s="72">
        <f t="shared" si="51"/>
        <v>0</v>
      </c>
      <c r="F253" s="32">
        <f t="shared" si="52"/>
        <v>0</v>
      </c>
      <c r="G253" s="32">
        <f t="shared" si="53"/>
        <v>0</v>
      </c>
      <c r="H253" s="32">
        <f t="shared" si="54"/>
        <v>0</v>
      </c>
      <c r="I253" s="32">
        <f t="shared" si="55"/>
        <v>0</v>
      </c>
      <c r="J253" s="32">
        <f t="shared" si="56"/>
        <v>0</v>
      </c>
      <c r="K253" s="32">
        <f t="shared" si="57"/>
        <v>0</v>
      </c>
      <c r="L253" s="32">
        <f t="shared" si="58"/>
        <v>0</v>
      </c>
      <c r="M253" s="32">
        <f t="shared" ca="1" si="59"/>
        <v>7.4214468061546803E-3</v>
      </c>
      <c r="N253" s="32">
        <f t="shared" ca="1" si="60"/>
        <v>0</v>
      </c>
      <c r="O253" s="122">
        <f t="shared" ca="1" si="61"/>
        <v>0</v>
      </c>
      <c r="P253" s="32">
        <f t="shared" ca="1" si="62"/>
        <v>0</v>
      </c>
      <c r="Q253" s="32">
        <f t="shared" ca="1" si="63"/>
        <v>0</v>
      </c>
      <c r="R253" s="16">
        <f t="shared" ca="1" si="64"/>
        <v>-7.4214468061546803E-3</v>
      </c>
    </row>
    <row r="254" spans="1:18">
      <c r="A254" s="71"/>
      <c r="B254" s="71"/>
      <c r="C254" s="71"/>
      <c r="D254" s="72">
        <f t="shared" si="50"/>
        <v>0</v>
      </c>
      <c r="E254" s="72">
        <f t="shared" si="51"/>
        <v>0</v>
      </c>
      <c r="F254" s="32">
        <f t="shared" si="52"/>
        <v>0</v>
      </c>
      <c r="G254" s="32">
        <f t="shared" si="53"/>
        <v>0</v>
      </c>
      <c r="H254" s="32">
        <f t="shared" si="54"/>
        <v>0</v>
      </c>
      <c r="I254" s="32">
        <f t="shared" si="55"/>
        <v>0</v>
      </c>
      <c r="J254" s="32">
        <f t="shared" si="56"/>
        <v>0</v>
      </c>
      <c r="K254" s="32">
        <f t="shared" si="57"/>
        <v>0</v>
      </c>
      <c r="L254" s="32">
        <f t="shared" si="58"/>
        <v>0</v>
      </c>
      <c r="M254" s="32">
        <f t="shared" ca="1" si="59"/>
        <v>7.4214468061546803E-3</v>
      </c>
      <c r="N254" s="32">
        <f t="shared" ca="1" si="60"/>
        <v>0</v>
      </c>
      <c r="O254" s="122">
        <f t="shared" ca="1" si="61"/>
        <v>0</v>
      </c>
      <c r="P254" s="32">
        <f t="shared" ca="1" si="62"/>
        <v>0</v>
      </c>
      <c r="Q254" s="32">
        <f t="shared" ca="1" si="63"/>
        <v>0</v>
      </c>
      <c r="R254" s="16">
        <f t="shared" ca="1" si="64"/>
        <v>-7.4214468061546803E-3</v>
      </c>
    </row>
    <row r="255" spans="1:18">
      <c r="A255" s="71"/>
      <c r="B255" s="71"/>
      <c r="C255" s="71"/>
      <c r="D255" s="72">
        <f t="shared" si="50"/>
        <v>0</v>
      </c>
      <c r="E255" s="72">
        <f t="shared" si="51"/>
        <v>0</v>
      </c>
      <c r="F255" s="32">
        <f t="shared" si="52"/>
        <v>0</v>
      </c>
      <c r="G255" s="32">
        <f t="shared" si="53"/>
        <v>0</v>
      </c>
      <c r="H255" s="32">
        <f t="shared" si="54"/>
        <v>0</v>
      </c>
      <c r="I255" s="32">
        <f t="shared" si="55"/>
        <v>0</v>
      </c>
      <c r="J255" s="32">
        <f t="shared" si="56"/>
        <v>0</v>
      </c>
      <c r="K255" s="32">
        <f t="shared" si="57"/>
        <v>0</v>
      </c>
      <c r="L255" s="32">
        <f t="shared" si="58"/>
        <v>0</v>
      </c>
      <c r="M255" s="32">
        <f t="shared" ca="1" si="59"/>
        <v>7.4214468061546803E-3</v>
      </c>
      <c r="N255" s="32">
        <f t="shared" ca="1" si="60"/>
        <v>0</v>
      </c>
      <c r="O255" s="122">
        <f t="shared" ca="1" si="61"/>
        <v>0</v>
      </c>
      <c r="P255" s="32">
        <f t="shared" ca="1" si="62"/>
        <v>0</v>
      </c>
      <c r="Q255" s="32">
        <f t="shared" ca="1" si="63"/>
        <v>0</v>
      </c>
      <c r="R255" s="16">
        <f t="shared" ca="1" si="64"/>
        <v>-7.4214468061546803E-3</v>
      </c>
    </row>
    <row r="256" spans="1:18">
      <c r="A256" s="71"/>
      <c r="B256" s="71"/>
      <c r="C256" s="71"/>
      <c r="D256" s="72">
        <f t="shared" si="50"/>
        <v>0</v>
      </c>
      <c r="E256" s="72">
        <f t="shared" si="51"/>
        <v>0</v>
      </c>
      <c r="F256" s="32">
        <f t="shared" si="52"/>
        <v>0</v>
      </c>
      <c r="G256" s="32">
        <f t="shared" si="53"/>
        <v>0</v>
      </c>
      <c r="H256" s="32">
        <f t="shared" si="54"/>
        <v>0</v>
      </c>
      <c r="I256" s="32">
        <f t="shared" si="55"/>
        <v>0</v>
      </c>
      <c r="J256" s="32">
        <f t="shared" si="56"/>
        <v>0</v>
      </c>
      <c r="K256" s="32">
        <f t="shared" si="57"/>
        <v>0</v>
      </c>
      <c r="L256" s="32">
        <f t="shared" si="58"/>
        <v>0</v>
      </c>
      <c r="M256" s="32">
        <f t="shared" ca="1" si="59"/>
        <v>7.4214468061546803E-3</v>
      </c>
      <c r="N256" s="32">
        <f t="shared" ca="1" si="60"/>
        <v>0</v>
      </c>
      <c r="O256" s="122">
        <f t="shared" ca="1" si="61"/>
        <v>0</v>
      </c>
      <c r="P256" s="32">
        <f t="shared" ca="1" si="62"/>
        <v>0</v>
      </c>
      <c r="Q256" s="32">
        <f t="shared" ca="1" si="63"/>
        <v>0</v>
      </c>
      <c r="R256" s="16">
        <f t="shared" ca="1" si="64"/>
        <v>-7.4214468061546803E-3</v>
      </c>
    </row>
    <row r="257" spans="1:18">
      <c r="A257" s="71"/>
      <c r="B257" s="71"/>
      <c r="C257" s="71"/>
      <c r="D257" s="72">
        <f t="shared" si="50"/>
        <v>0</v>
      </c>
      <c r="E257" s="72">
        <f t="shared" si="51"/>
        <v>0</v>
      </c>
      <c r="F257" s="32">
        <f t="shared" si="52"/>
        <v>0</v>
      </c>
      <c r="G257" s="32">
        <f t="shared" si="53"/>
        <v>0</v>
      </c>
      <c r="H257" s="32">
        <f t="shared" si="54"/>
        <v>0</v>
      </c>
      <c r="I257" s="32">
        <f t="shared" si="55"/>
        <v>0</v>
      </c>
      <c r="J257" s="32">
        <f t="shared" si="56"/>
        <v>0</v>
      </c>
      <c r="K257" s="32">
        <f t="shared" si="57"/>
        <v>0</v>
      </c>
      <c r="L257" s="32">
        <f t="shared" si="58"/>
        <v>0</v>
      </c>
      <c r="M257" s="32">
        <f t="shared" ca="1" si="59"/>
        <v>7.4214468061546803E-3</v>
      </c>
      <c r="N257" s="32">
        <f t="shared" ca="1" si="60"/>
        <v>0</v>
      </c>
      <c r="O257" s="122">
        <f t="shared" ca="1" si="61"/>
        <v>0</v>
      </c>
      <c r="P257" s="32">
        <f t="shared" ca="1" si="62"/>
        <v>0</v>
      </c>
      <c r="Q257" s="32">
        <f t="shared" ca="1" si="63"/>
        <v>0</v>
      </c>
      <c r="R257" s="16">
        <f t="shared" ca="1" si="64"/>
        <v>-7.4214468061546803E-3</v>
      </c>
    </row>
    <row r="258" spans="1:18">
      <c r="A258" s="71"/>
      <c r="B258" s="71"/>
      <c r="C258" s="71"/>
      <c r="D258" s="72">
        <f t="shared" si="50"/>
        <v>0</v>
      </c>
      <c r="E258" s="72">
        <f t="shared" si="51"/>
        <v>0</v>
      </c>
      <c r="F258" s="32">
        <f t="shared" si="52"/>
        <v>0</v>
      </c>
      <c r="G258" s="32">
        <f t="shared" si="53"/>
        <v>0</v>
      </c>
      <c r="H258" s="32">
        <f t="shared" si="54"/>
        <v>0</v>
      </c>
      <c r="I258" s="32">
        <f t="shared" si="55"/>
        <v>0</v>
      </c>
      <c r="J258" s="32">
        <f t="shared" si="56"/>
        <v>0</v>
      </c>
      <c r="K258" s="32">
        <f t="shared" si="57"/>
        <v>0</v>
      </c>
      <c r="L258" s="32">
        <f t="shared" si="58"/>
        <v>0</v>
      </c>
      <c r="M258" s="32">
        <f t="shared" ca="1" si="59"/>
        <v>7.4214468061546803E-3</v>
      </c>
      <c r="N258" s="32">
        <f t="shared" ca="1" si="60"/>
        <v>0</v>
      </c>
      <c r="O258" s="122">
        <f t="shared" ca="1" si="61"/>
        <v>0</v>
      </c>
      <c r="P258" s="32">
        <f t="shared" ca="1" si="62"/>
        <v>0</v>
      </c>
      <c r="Q258" s="32">
        <f t="shared" ca="1" si="63"/>
        <v>0</v>
      </c>
      <c r="R258" s="16">
        <f t="shared" ca="1" si="64"/>
        <v>-7.4214468061546803E-3</v>
      </c>
    </row>
    <row r="259" spans="1:18">
      <c r="A259" s="71"/>
      <c r="B259" s="71"/>
      <c r="C259" s="71"/>
      <c r="D259" s="72">
        <f t="shared" si="50"/>
        <v>0</v>
      </c>
      <c r="E259" s="72">
        <f t="shared" si="51"/>
        <v>0</v>
      </c>
      <c r="F259" s="32">
        <f t="shared" si="52"/>
        <v>0</v>
      </c>
      <c r="G259" s="32">
        <f t="shared" si="53"/>
        <v>0</v>
      </c>
      <c r="H259" s="32">
        <f t="shared" si="54"/>
        <v>0</v>
      </c>
      <c r="I259" s="32">
        <f t="shared" si="55"/>
        <v>0</v>
      </c>
      <c r="J259" s="32">
        <f t="shared" si="56"/>
        <v>0</v>
      </c>
      <c r="K259" s="32">
        <f t="shared" si="57"/>
        <v>0</v>
      </c>
      <c r="L259" s="32">
        <f t="shared" si="58"/>
        <v>0</v>
      </c>
      <c r="M259" s="32">
        <f t="shared" ca="1" si="59"/>
        <v>7.4214468061546803E-3</v>
      </c>
      <c r="N259" s="32">
        <f t="shared" ca="1" si="60"/>
        <v>0</v>
      </c>
      <c r="O259" s="122">
        <f t="shared" ca="1" si="61"/>
        <v>0</v>
      </c>
      <c r="P259" s="32">
        <f t="shared" ca="1" si="62"/>
        <v>0</v>
      </c>
      <c r="Q259" s="32">
        <f t="shared" ca="1" si="63"/>
        <v>0</v>
      </c>
      <c r="R259" s="16">
        <f t="shared" ca="1" si="64"/>
        <v>-7.4214468061546803E-3</v>
      </c>
    </row>
    <row r="260" spans="1:18">
      <c r="A260" s="71"/>
      <c r="B260" s="71"/>
      <c r="C260" s="71"/>
      <c r="D260" s="72">
        <f t="shared" si="50"/>
        <v>0</v>
      </c>
      <c r="E260" s="72">
        <f t="shared" si="51"/>
        <v>0</v>
      </c>
      <c r="F260" s="32">
        <f t="shared" si="52"/>
        <v>0</v>
      </c>
      <c r="G260" s="32">
        <f t="shared" si="53"/>
        <v>0</v>
      </c>
      <c r="H260" s="32">
        <f t="shared" si="54"/>
        <v>0</v>
      </c>
      <c r="I260" s="32">
        <f t="shared" si="55"/>
        <v>0</v>
      </c>
      <c r="J260" s="32">
        <f t="shared" si="56"/>
        <v>0</v>
      </c>
      <c r="K260" s="32">
        <f t="shared" si="57"/>
        <v>0</v>
      </c>
      <c r="L260" s="32">
        <f t="shared" si="58"/>
        <v>0</v>
      </c>
      <c r="M260" s="32">
        <f t="shared" ca="1" si="59"/>
        <v>7.4214468061546803E-3</v>
      </c>
      <c r="N260" s="32">
        <f t="shared" ca="1" si="60"/>
        <v>0</v>
      </c>
      <c r="O260" s="122">
        <f t="shared" ca="1" si="61"/>
        <v>0</v>
      </c>
      <c r="P260" s="32">
        <f t="shared" ca="1" si="62"/>
        <v>0</v>
      </c>
      <c r="Q260" s="32">
        <f t="shared" ca="1" si="63"/>
        <v>0</v>
      </c>
      <c r="R260" s="16">
        <f t="shared" ca="1" si="64"/>
        <v>-7.4214468061546803E-3</v>
      </c>
    </row>
    <row r="261" spans="1:18">
      <c r="A261" s="71"/>
      <c r="B261" s="71"/>
      <c r="C261" s="71"/>
      <c r="D261" s="72">
        <f t="shared" si="50"/>
        <v>0</v>
      </c>
      <c r="E261" s="72">
        <f t="shared" si="51"/>
        <v>0</v>
      </c>
      <c r="F261" s="32">
        <f t="shared" si="52"/>
        <v>0</v>
      </c>
      <c r="G261" s="32">
        <f t="shared" si="53"/>
        <v>0</v>
      </c>
      <c r="H261" s="32">
        <f t="shared" si="54"/>
        <v>0</v>
      </c>
      <c r="I261" s="32">
        <f t="shared" si="55"/>
        <v>0</v>
      </c>
      <c r="J261" s="32">
        <f t="shared" si="56"/>
        <v>0</v>
      </c>
      <c r="K261" s="32">
        <f t="shared" si="57"/>
        <v>0</v>
      </c>
      <c r="L261" s="32">
        <f t="shared" si="58"/>
        <v>0</v>
      </c>
      <c r="M261" s="32">
        <f t="shared" ca="1" si="59"/>
        <v>7.4214468061546803E-3</v>
      </c>
      <c r="N261" s="32">
        <f t="shared" ca="1" si="60"/>
        <v>0</v>
      </c>
      <c r="O261" s="122">
        <f t="shared" ca="1" si="61"/>
        <v>0</v>
      </c>
      <c r="P261" s="32">
        <f t="shared" ca="1" si="62"/>
        <v>0</v>
      </c>
      <c r="Q261" s="32">
        <f t="shared" ca="1" si="63"/>
        <v>0</v>
      </c>
      <c r="R261" s="16">
        <f t="shared" ca="1" si="64"/>
        <v>-7.4214468061546803E-3</v>
      </c>
    </row>
    <row r="262" spans="1:18">
      <c r="A262" s="71"/>
      <c r="B262" s="71"/>
      <c r="C262" s="71"/>
      <c r="D262" s="72">
        <f t="shared" si="50"/>
        <v>0</v>
      </c>
      <c r="E262" s="72">
        <f t="shared" si="51"/>
        <v>0</v>
      </c>
      <c r="F262" s="32">
        <f t="shared" si="52"/>
        <v>0</v>
      </c>
      <c r="G262" s="32">
        <f t="shared" si="53"/>
        <v>0</v>
      </c>
      <c r="H262" s="32">
        <f t="shared" si="54"/>
        <v>0</v>
      </c>
      <c r="I262" s="32">
        <f t="shared" si="55"/>
        <v>0</v>
      </c>
      <c r="J262" s="32">
        <f t="shared" si="56"/>
        <v>0</v>
      </c>
      <c r="K262" s="32">
        <f t="shared" si="57"/>
        <v>0</v>
      </c>
      <c r="L262" s="32">
        <f t="shared" si="58"/>
        <v>0</v>
      </c>
      <c r="M262" s="32">
        <f t="shared" ca="1" si="59"/>
        <v>7.4214468061546803E-3</v>
      </c>
      <c r="N262" s="32">
        <f t="shared" ca="1" si="60"/>
        <v>0</v>
      </c>
      <c r="O262" s="122">
        <f t="shared" ca="1" si="61"/>
        <v>0</v>
      </c>
      <c r="P262" s="32">
        <f t="shared" ca="1" si="62"/>
        <v>0</v>
      </c>
      <c r="Q262" s="32">
        <f t="shared" ca="1" si="63"/>
        <v>0</v>
      </c>
      <c r="R262" s="16">
        <f t="shared" ca="1" si="64"/>
        <v>-7.4214468061546803E-3</v>
      </c>
    </row>
    <row r="263" spans="1:18">
      <c r="A263" s="71"/>
      <c r="B263" s="71"/>
      <c r="C263" s="71"/>
      <c r="D263" s="72">
        <f t="shared" si="50"/>
        <v>0</v>
      </c>
      <c r="E263" s="72">
        <f t="shared" si="51"/>
        <v>0</v>
      </c>
      <c r="F263" s="32">
        <f t="shared" si="52"/>
        <v>0</v>
      </c>
      <c r="G263" s="32">
        <f t="shared" si="53"/>
        <v>0</v>
      </c>
      <c r="H263" s="32">
        <f t="shared" si="54"/>
        <v>0</v>
      </c>
      <c r="I263" s="32">
        <f t="shared" si="55"/>
        <v>0</v>
      </c>
      <c r="J263" s="32">
        <f t="shared" si="56"/>
        <v>0</v>
      </c>
      <c r="K263" s="32">
        <f t="shared" si="57"/>
        <v>0</v>
      </c>
      <c r="L263" s="32">
        <f t="shared" si="58"/>
        <v>0</v>
      </c>
      <c r="M263" s="32">
        <f t="shared" ca="1" si="59"/>
        <v>7.4214468061546803E-3</v>
      </c>
      <c r="N263" s="32">
        <f t="shared" ca="1" si="60"/>
        <v>0</v>
      </c>
      <c r="O263" s="122">
        <f t="shared" ca="1" si="61"/>
        <v>0</v>
      </c>
      <c r="P263" s="32">
        <f t="shared" ca="1" si="62"/>
        <v>0</v>
      </c>
      <c r="Q263" s="32">
        <f t="shared" ca="1" si="63"/>
        <v>0</v>
      </c>
      <c r="R263" s="16">
        <f t="shared" ca="1" si="64"/>
        <v>-7.4214468061546803E-3</v>
      </c>
    </row>
    <row r="264" spans="1:18">
      <c r="A264" s="71"/>
      <c r="B264" s="71"/>
      <c r="C264" s="71"/>
      <c r="D264" s="72">
        <f t="shared" si="50"/>
        <v>0</v>
      </c>
      <c r="E264" s="72">
        <f t="shared" si="51"/>
        <v>0</v>
      </c>
      <c r="F264" s="32">
        <f t="shared" si="52"/>
        <v>0</v>
      </c>
      <c r="G264" s="32">
        <f t="shared" si="53"/>
        <v>0</v>
      </c>
      <c r="H264" s="32">
        <f t="shared" si="54"/>
        <v>0</v>
      </c>
      <c r="I264" s="32">
        <f t="shared" si="55"/>
        <v>0</v>
      </c>
      <c r="J264" s="32">
        <f t="shared" si="56"/>
        <v>0</v>
      </c>
      <c r="K264" s="32">
        <f t="shared" si="57"/>
        <v>0</v>
      </c>
      <c r="L264" s="32">
        <f t="shared" si="58"/>
        <v>0</v>
      </c>
      <c r="M264" s="32">
        <f t="shared" ca="1" si="59"/>
        <v>7.4214468061546803E-3</v>
      </c>
      <c r="N264" s="32">
        <f t="shared" ca="1" si="60"/>
        <v>0</v>
      </c>
      <c r="O264" s="122">
        <f t="shared" ca="1" si="61"/>
        <v>0</v>
      </c>
      <c r="P264" s="32">
        <f t="shared" ca="1" si="62"/>
        <v>0</v>
      </c>
      <c r="Q264" s="32">
        <f t="shared" ca="1" si="63"/>
        <v>0</v>
      </c>
      <c r="R264" s="16">
        <f t="shared" ca="1" si="64"/>
        <v>-7.4214468061546803E-3</v>
      </c>
    </row>
    <row r="265" spans="1:18">
      <c r="A265" s="71"/>
      <c r="B265" s="71"/>
      <c r="C265" s="71"/>
      <c r="D265" s="72">
        <f t="shared" si="50"/>
        <v>0</v>
      </c>
      <c r="E265" s="72">
        <f t="shared" si="51"/>
        <v>0</v>
      </c>
      <c r="F265" s="32">
        <f t="shared" si="52"/>
        <v>0</v>
      </c>
      <c r="G265" s="32">
        <f t="shared" si="53"/>
        <v>0</v>
      </c>
      <c r="H265" s="32">
        <f t="shared" si="54"/>
        <v>0</v>
      </c>
      <c r="I265" s="32">
        <f t="shared" si="55"/>
        <v>0</v>
      </c>
      <c r="J265" s="32">
        <f t="shared" si="56"/>
        <v>0</v>
      </c>
      <c r="K265" s="32">
        <f t="shared" si="57"/>
        <v>0</v>
      </c>
      <c r="L265" s="32">
        <f t="shared" si="58"/>
        <v>0</v>
      </c>
      <c r="M265" s="32">
        <f t="shared" ca="1" si="59"/>
        <v>7.4214468061546803E-3</v>
      </c>
      <c r="N265" s="32">
        <f t="shared" ca="1" si="60"/>
        <v>0</v>
      </c>
      <c r="O265" s="122">
        <f t="shared" ca="1" si="61"/>
        <v>0</v>
      </c>
      <c r="P265" s="32">
        <f t="shared" ca="1" si="62"/>
        <v>0</v>
      </c>
      <c r="Q265" s="32">
        <f t="shared" ca="1" si="63"/>
        <v>0</v>
      </c>
      <c r="R265" s="16">
        <f t="shared" ca="1" si="64"/>
        <v>-7.4214468061546803E-3</v>
      </c>
    </row>
    <row r="266" spans="1:18">
      <c r="A266" s="71"/>
      <c r="B266" s="71"/>
      <c r="C266" s="71"/>
      <c r="D266" s="72">
        <f t="shared" si="50"/>
        <v>0</v>
      </c>
      <c r="E266" s="72">
        <f t="shared" si="51"/>
        <v>0</v>
      </c>
      <c r="F266" s="32">
        <f t="shared" si="52"/>
        <v>0</v>
      </c>
      <c r="G266" s="32">
        <f t="shared" si="53"/>
        <v>0</v>
      </c>
      <c r="H266" s="32">
        <f t="shared" si="54"/>
        <v>0</v>
      </c>
      <c r="I266" s="32">
        <f t="shared" si="55"/>
        <v>0</v>
      </c>
      <c r="J266" s="32">
        <f t="shared" si="56"/>
        <v>0</v>
      </c>
      <c r="K266" s="32">
        <f t="shared" si="57"/>
        <v>0</v>
      </c>
      <c r="L266" s="32">
        <f t="shared" si="58"/>
        <v>0</v>
      </c>
      <c r="M266" s="32">
        <f t="shared" ca="1" si="59"/>
        <v>7.4214468061546803E-3</v>
      </c>
      <c r="N266" s="32">
        <f t="shared" ca="1" si="60"/>
        <v>0</v>
      </c>
      <c r="O266" s="122">
        <f t="shared" ca="1" si="61"/>
        <v>0</v>
      </c>
      <c r="P266" s="32">
        <f t="shared" ca="1" si="62"/>
        <v>0</v>
      </c>
      <c r="Q266" s="32">
        <f t="shared" ca="1" si="63"/>
        <v>0</v>
      </c>
      <c r="R266" s="16">
        <f t="shared" ca="1" si="64"/>
        <v>-7.4214468061546803E-3</v>
      </c>
    </row>
    <row r="267" spans="1:18">
      <c r="A267" s="71"/>
      <c r="B267" s="71"/>
      <c r="C267" s="71"/>
      <c r="D267" s="72">
        <f t="shared" si="50"/>
        <v>0</v>
      </c>
      <c r="E267" s="72">
        <f t="shared" si="51"/>
        <v>0</v>
      </c>
      <c r="F267" s="32">
        <f t="shared" si="52"/>
        <v>0</v>
      </c>
      <c r="G267" s="32">
        <f t="shared" si="53"/>
        <v>0</v>
      </c>
      <c r="H267" s="32">
        <f t="shared" si="54"/>
        <v>0</v>
      </c>
      <c r="I267" s="32">
        <f t="shared" si="55"/>
        <v>0</v>
      </c>
      <c r="J267" s="32">
        <f t="shared" si="56"/>
        <v>0</v>
      </c>
      <c r="K267" s="32">
        <f t="shared" si="57"/>
        <v>0</v>
      </c>
      <c r="L267" s="32">
        <f t="shared" si="58"/>
        <v>0</v>
      </c>
      <c r="M267" s="32">
        <f t="shared" ca="1" si="59"/>
        <v>7.4214468061546803E-3</v>
      </c>
      <c r="N267" s="32">
        <f t="shared" ca="1" si="60"/>
        <v>0</v>
      </c>
      <c r="O267" s="122">
        <f t="shared" ca="1" si="61"/>
        <v>0</v>
      </c>
      <c r="P267" s="32">
        <f t="shared" ca="1" si="62"/>
        <v>0</v>
      </c>
      <c r="Q267" s="32">
        <f t="shared" ca="1" si="63"/>
        <v>0</v>
      </c>
      <c r="R267" s="16">
        <f t="shared" ca="1" si="64"/>
        <v>-7.4214468061546803E-3</v>
      </c>
    </row>
    <row r="268" spans="1:18">
      <c r="A268" s="71"/>
      <c r="B268" s="71"/>
      <c r="C268" s="71"/>
      <c r="D268" s="72">
        <f t="shared" si="50"/>
        <v>0</v>
      </c>
      <c r="E268" s="72">
        <f t="shared" si="51"/>
        <v>0</v>
      </c>
      <c r="F268" s="32">
        <f t="shared" si="52"/>
        <v>0</v>
      </c>
      <c r="G268" s="32">
        <f t="shared" si="53"/>
        <v>0</v>
      </c>
      <c r="H268" s="32">
        <f t="shared" si="54"/>
        <v>0</v>
      </c>
      <c r="I268" s="32">
        <f t="shared" si="55"/>
        <v>0</v>
      </c>
      <c r="J268" s="32">
        <f t="shared" si="56"/>
        <v>0</v>
      </c>
      <c r="K268" s="32">
        <f t="shared" si="57"/>
        <v>0</v>
      </c>
      <c r="L268" s="32">
        <f t="shared" si="58"/>
        <v>0</v>
      </c>
      <c r="M268" s="32">
        <f t="shared" ca="1" si="59"/>
        <v>7.4214468061546803E-3</v>
      </c>
      <c r="N268" s="32">
        <f t="shared" ca="1" si="60"/>
        <v>0</v>
      </c>
      <c r="O268" s="122">
        <f t="shared" ca="1" si="61"/>
        <v>0</v>
      </c>
      <c r="P268" s="32">
        <f t="shared" ca="1" si="62"/>
        <v>0</v>
      </c>
      <c r="Q268" s="32">
        <f t="shared" ca="1" si="63"/>
        <v>0</v>
      </c>
      <c r="R268" s="16">
        <f t="shared" ca="1" si="64"/>
        <v>-7.4214468061546803E-3</v>
      </c>
    </row>
    <row r="269" spans="1:18">
      <c r="A269" s="71"/>
      <c r="B269" s="71"/>
      <c r="C269" s="71"/>
      <c r="D269" s="72">
        <f t="shared" si="50"/>
        <v>0</v>
      </c>
      <c r="E269" s="72">
        <f t="shared" si="51"/>
        <v>0</v>
      </c>
      <c r="F269" s="32">
        <f t="shared" si="52"/>
        <v>0</v>
      </c>
      <c r="G269" s="32">
        <f t="shared" si="53"/>
        <v>0</v>
      </c>
      <c r="H269" s="32">
        <f t="shared" si="54"/>
        <v>0</v>
      </c>
      <c r="I269" s="32">
        <f t="shared" si="55"/>
        <v>0</v>
      </c>
      <c r="J269" s="32">
        <f t="shared" si="56"/>
        <v>0</v>
      </c>
      <c r="K269" s="32">
        <f t="shared" si="57"/>
        <v>0</v>
      </c>
      <c r="L269" s="32">
        <f t="shared" si="58"/>
        <v>0</v>
      </c>
      <c r="M269" s="32">
        <f t="shared" ca="1" si="59"/>
        <v>7.4214468061546803E-3</v>
      </c>
      <c r="N269" s="32">
        <f t="shared" ca="1" si="60"/>
        <v>0</v>
      </c>
      <c r="O269" s="122">
        <f t="shared" ca="1" si="61"/>
        <v>0</v>
      </c>
      <c r="P269" s="32">
        <f t="shared" ca="1" si="62"/>
        <v>0</v>
      </c>
      <c r="Q269" s="32">
        <f t="shared" ca="1" si="63"/>
        <v>0</v>
      </c>
      <c r="R269" s="16">
        <f t="shared" ca="1" si="64"/>
        <v>-7.4214468061546803E-3</v>
      </c>
    </row>
    <row r="270" spans="1:18">
      <c r="A270" s="71"/>
      <c r="B270" s="71"/>
      <c r="C270" s="71"/>
      <c r="D270" s="72">
        <f t="shared" si="50"/>
        <v>0</v>
      </c>
      <c r="E270" s="72">
        <f t="shared" si="51"/>
        <v>0</v>
      </c>
      <c r="F270" s="32">
        <f t="shared" si="52"/>
        <v>0</v>
      </c>
      <c r="G270" s="32">
        <f t="shared" si="53"/>
        <v>0</v>
      </c>
      <c r="H270" s="32">
        <f t="shared" si="54"/>
        <v>0</v>
      </c>
      <c r="I270" s="32">
        <f t="shared" si="55"/>
        <v>0</v>
      </c>
      <c r="J270" s="32">
        <f t="shared" si="56"/>
        <v>0</v>
      </c>
      <c r="K270" s="32">
        <f t="shared" si="57"/>
        <v>0</v>
      </c>
      <c r="L270" s="32">
        <f t="shared" si="58"/>
        <v>0</v>
      </c>
      <c r="M270" s="32">
        <f t="shared" ca="1" si="59"/>
        <v>7.4214468061546803E-3</v>
      </c>
      <c r="N270" s="32">
        <f t="shared" ca="1" si="60"/>
        <v>0</v>
      </c>
      <c r="O270" s="122">
        <f t="shared" ca="1" si="61"/>
        <v>0</v>
      </c>
      <c r="P270" s="32">
        <f t="shared" ca="1" si="62"/>
        <v>0</v>
      </c>
      <c r="Q270" s="32">
        <f t="shared" ca="1" si="63"/>
        <v>0</v>
      </c>
      <c r="R270" s="16">
        <f t="shared" ca="1" si="64"/>
        <v>-7.4214468061546803E-3</v>
      </c>
    </row>
    <row r="271" spans="1:18">
      <c r="A271" s="71"/>
      <c r="B271" s="71"/>
      <c r="C271" s="71"/>
      <c r="D271" s="72">
        <f t="shared" si="50"/>
        <v>0</v>
      </c>
      <c r="E271" s="72">
        <f t="shared" si="51"/>
        <v>0</v>
      </c>
      <c r="F271" s="32">
        <f t="shared" si="52"/>
        <v>0</v>
      </c>
      <c r="G271" s="32">
        <f t="shared" si="53"/>
        <v>0</v>
      </c>
      <c r="H271" s="32">
        <f t="shared" si="54"/>
        <v>0</v>
      </c>
      <c r="I271" s="32">
        <f t="shared" si="55"/>
        <v>0</v>
      </c>
      <c r="J271" s="32">
        <f t="shared" si="56"/>
        <v>0</v>
      </c>
      <c r="K271" s="32">
        <f t="shared" si="57"/>
        <v>0</v>
      </c>
      <c r="L271" s="32">
        <f t="shared" si="58"/>
        <v>0</v>
      </c>
      <c r="M271" s="32">
        <f t="shared" ca="1" si="59"/>
        <v>7.4214468061546803E-3</v>
      </c>
      <c r="N271" s="32">
        <f t="shared" ca="1" si="60"/>
        <v>0</v>
      </c>
      <c r="O271" s="122">
        <f t="shared" ca="1" si="61"/>
        <v>0</v>
      </c>
      <c r="P271" s="32">
        <f t="shared" ca="1" si="62"/>
        <v>0</v>
      </c>
      <c r="Q271" s="32">
        <f t="shared" ca="1" si="63"/>
        <v>0</v>
      </c>
      <c r="R271" s="16">
        <f t="shared" ca="1" si="64"/>
        <v>-7.4214468061546803E-3</v>
      </c>
    </row>
    <row r="272" spans="1:18">
      <c r="A272" s="71"/>
      <c r="B272" s="71"/>
      <c r="C272" s="71"/>
      <c r="D272" s="72">
        <f t="shared" si="50"/>
        <v>0</v>
      </c>
      <c r="E272" s="72">
        <f t="shared" si="51"/>
        <v>0</v>
      </c>
      <c r="F272" s="32">
        <f t="shared" si="52"/>
        <v>0</v>
      </c>
      <c r="G272" s="32">
        <f t="shared" si="53"/>
        <v>0</v>
      </c>
      <c r="H272" s="32">
        <f t="shared" si="54"/>
        <v>0</v>
      </c>
      <c r="I272" s="32">
        <f t="shared" si="55"/>
        <v>0</v>
      </c>
      <c r="J272" s="32">
        <f t="shared" si="56"/>
        <v>0</v>
      </c>
      <c r="K272" s="32">
        <f t="shared" si="57"/>
        <v>0</v>
      </c>
      <c r="L272" s="32">
        <f t="shared" si="58"/>
        <v>0</v>
      </c>
      <c r="M272" s="32">
        <f t="shared" ca="1" si="59"/>
        <v>7.4214468061546803E-3</v>
      </c>
      <c r="N272" s="32">
        <f t="shared" ca="1" si="60"/>
        <v>0</v>
      </c>
      <c r="O272" s="122">
        <f t="shared" ca="1" si="61"/>
        <v>0</v>
      </c>
      <c r="P272" s="32">
        <f t="shared" ca="1" si="62"/>
        <v>0</v>
      </c>
      <c r="Q272" s="32">
        <f t="shared" ca="1" si="63"/>
        <v>0</v>
      </c>
      <c r="R272" s="16">
        <f t="shared" ca="1" si="64"/>
        <v>-7.4214468061546803E-3</v>
      </c>
    </row>
    <row r="273" spans="1:18">
      <c r="A273" s="71"/>
      <c r="B273" s="71"/>
      <c r="C273" s="71"/>
      <c r="D273" s="72">
        <f t="shared" si="50"/>
        <v>0</v>
      </c>
      <c r="E273" s="72">
        <f t="shared" si="51"/>
        <v>0</v>
      </c>
      <c r="F273" s="32">
        <f t="shared" si="52"/>
        <v>0</v>
      </c>
      <c r="G273" s="32">
        <f t="shared" si="53"/>
        <v>0</v>
      </c>
      <c r="H273" s="32">
        <f t="shared" si="54"/>
        <v>0</v>
      </c>
      <c r="I273" s="32">
        <f t="shared" si="55"/>
        <v>0</v>
      </c>
      <c r="J273" s="32">
        <f t="shared" si="56"/>
        <v>0</v>
      </c>
      <c r="K273" s="32">
        <f t="shared" si="57"/>
        <v>0</v>
      </c>
      <c r="L273" s="32">
        <f t="shared" si="58"/>
        <v>0</v>
      </c>
      <c r="M273" s="32">
        <f t="shared" ca="1" si="59"/>
        <v>7.4214468061546803E-3</v>
      </c>
      <c r="N273" s="32">
        <f t="shared" ca="1" si="60"/>
        <v>0</v>
      </c>
      <c r="O273" s="122">
        <f t="shared" ca="1" si="61"/>
        <v>0</v>
      </c>
      <c r="P273" s="32">
        <f t="shared" ca="1" si="62"/>
        <v>0</v>
      </c>
      <c r="Q273" s="32">
        <f t="shared" ca="1" si="63"/>
        <v>0</v>
      </c>
      <c r="R273" s="16">
        <f t="shared" ca="1" si="64"/>
        <v>-7.4214468061546803E-3</v>
      </c>
    </row>
    <row r="274" spans="1:18">
      <c r="A274" s="71"/>
      <c r="B274" s="71"/>
      <c r="C274" s="71"/>
      <c r="D274" s="72">
        <f t="shared" si="50"/>
        <v>0</v>
      </c>
      <c r="E274" s="72">
        <f t="shared" si="51"/>
        <v>0</v>
      </c>
      <c r="F274" s="32">
        <f t="shared" si="52"/>
        <v>0</v>
      </c>
      <c r="G274" s="32">
        <f t="shared" si="53"/>
        <v>0</v>
      </c>
      <c r="H274" s="32">
        <f t="shared" si="54"/>
        <v>0</v>
      </c>
      <c r="I274" s="32">
        <f t="shared" si="55"/>
        <v>0</v>
      </c>
      <c r="J274" s="32">
        <f t="shared" si="56"/>
        <v>0</v>
      </c>
      <c r="K274" s="32">
        <f t="shared" si="57"/>
        <v>0</v>
      </c>
      <c r="L274" s="32">
        <f t="shared" si="58"/>
        <v>0</v>
      </c>
      <c r="M274" s="32">
        <f t="shared" ca="1" si="59"/>
        <v>7.4214468061546803E-3</v>
      </c>
      <c r="N274" s="32">
        <f t="shared" ca="1" si="60"/>
        <v>0</v>
      </c>
      <c r="O274" s="122">
        <f t="shared" ca="1" si="61"/>
        <v>0</v>
      </c>
      <c r="P274" s="32">
        <f t="shared" ca="1" si="62"/>
        <v>0</v>
      </c>
      <c r="Q274" s="32">
        <f t="shared" ca="1" si="63"/>
        <v>0</v>
      </c>
      <c r="R274" s="16">
        <f t="shared" ca="1" si="64"/>
        <v>-7.4214468061546803E-3</v>
      </c>
    </row>
    <row r="275" spans="1:18">
      <c r="A275" s="71"/>
      <c r="B275" s="71"/>
      <c r="C275" s="71"/>
      <c r="D275" s="72">
        <f t="shared" si="50"/>
        <v>0</v>
      </c>
      <c r="E275" s="72">
        <f t="shared" si="51"/>
        <v>0</v>
      </c>
      <c r="F275" s="32">
        <f t="shared" si="52"/>
        <v>0</v>
      </c>
      <c r="G275" s="32">
        <f t="shared" si="53"/>
        <v>0</v>
      </c>
      <c r="H275" s="32">
        <f t="shared" si="54"/>
        <v>0</v>
      </c>
      <c r="I275" s="32">
        <f t="shared" si="55"/>
        <v>0</v>
      </c>
      <c r="J275" s="32">
        <f t="shared" si="56"/>
        <v>0</v>
      </c>
      <c r="K275" s="32">
        <f t="shared" si="57"/>
        <v>0</v>
      </c>
      <c r="L275" s="32">
        <f t="shared" si="58"/>
        <v>0</v>
      </c>
      <c r="M275" s="32">
        <f t="shared" ca="1" si="59"/>
        <v>7.4214468061546803E-3</v>
      </c>
      <c r="N275" s="32">
        <f t="shared" ca="1" si="60"/>
        <v>0</v>
      </c>
      <c r="O275" s="122">
        <f t="shared" ca="1" si="61"/>
        <v>0</v>
      </c>
      <c r="P275" s="32">
        <f t="shared" ca="1" si="62"/>
        <v>0</v>
      </c>
      <c r="Q275" s="32">
        <f t="shared" ca="1" si="63"/>
        <v>0</v>
      </c>
      <c r="R275" s="16">
        <f t="shared" ca="1" si="64"/>
        <v>-7.4214468061546803E-3</v>
      </c>
    </row>
    <row r="276" spans="1:18">
      <c r="A276" s="71"/>
      <c r="B276" s="71"/>
      <c r="C276" s="71"/>
      <c r="D276" s="72">
        <f t="shared" si="50"/>
        <v>0</v>
      </c>
      <c r="E276" s="72">
        <f t="shared" si="51"/>
        <v>0</v>
      </c>
      <c r="F276" s="32">
        <f t="shared" si="52"/>
        <v>0</v>
      </c>
      <c r="G276" s="32">
        <f t="shared" si="53"/>
        <v>0</v>
      </c>
      <c r="H276" s="32">
        <f t="shared" si="54"/>
        <v>0</v>
      </c>
      <c r="I276" s="32">
        <f t="shared" si="55"/>
        <v>0</v>
      </c>
      <c r="J276" s="32">
        <f t="shared" si="56"/>
        <v>0</v>
      </c>
      <c r="K276" s="32">
        <f t="shared" si="57"/>
        <v>0</v>
      </c>
      <c r="L276" s="32">
        <f t="shared" si="58"/>
        <v>0</v>
      </c>
      <c r="M276" s="32">
        <f t="shared" ca="1" si="59"/>
        <v>7.4214468061546803E-3</v>
      </c>
      <c r="N276" s="32">
        <f t="shared" ca="1" si="60"/>
        <v>0</v>
      </c>
      <c r="O276" s="122">
        <f t="shared" ca="1" si="61"/>
        <v>0</v>
      </c>
      <c r="P276" s="32">
        <f t="shared" ca="1" si="62"/>
        <v>0</v>
      </c>
      <c r="Q276" s="32">
        <f t="shared" ca="1" si="63"/>
        <v>0</v>
      </c>
      <c r="R276" s="16">
        <f t="shared" ca="1" si="64"/>
        <v>-7.4214468061546803E-3</v>
      </c>
    </row>
    <row r="277" spans="1:18">
      <c r="A277" s="71"/>
      <c r="B277" s="71"/>
      <c r="C277" s="71"/>
      <c r="D277" s="72">
        <f t="shared" ref="D277:D342" si="65">A277/A$18</f>
        <v>0</v>
      </c>
      <c r="E277" s="72">
        <f t="shared" ref="E277:E342" si="66">B277/B$18</f>
        <v>0</v>
      </c>
      <c r="F277" s="32">
        <f t="shared" ref="F277:F342" si="67">$C277*D277</f>
        <v>0</v>
      </c>
      <c r="G277" s="32">
        <f t="shared" ref="G277:G342" si="68">$C277*E277</f>
        <v>0</v>
      </c>
      <c r="H277" s="32">
        <f t="shared" ref="H277:H342" si="69">C277*D277*D277</f>
        <v>0</v>
      </c>
      <c r="I277" s="32">
        <f t="shared" ref="I277:I342" si="70">C277*D277*D277*D277</f>
        <v>0</v>
      </c>
      <c r="J277" s="32">
        <f t="shared" ref="J277:J342" si="71">C277*D277*D277*D277*D277</f>
        <v>0</v>
      </c>
      <c r="K277" s="32">
        <f t="shared" ref="K277:K342" si="72">C277*E277*D277</f>
        <v>0</v>
      </c>
      <c r="L277" s="32">
        <f t="shared" ref="L277:L342" si="73">C277*E277*D277*D277</f>
        <v>0</v>
      </c>
      <c r="M277" s="32">
        <f t="shared" ref="M277:M342" ca="1" si="74">+E$4+E$5*D277+E$6*D277^2</f>
        <v>7.4214468061546803E-3</v>
      </c>
      <c r="N277" s="32">
        <f t="shared" ref="N277:N340" ca="1" si="75">C277*(M277-E277)^2</f>
        <v>0</v>
      </c>
      <c r="O277" s="122">
        <f t="shared" ref="O277:O342" ca="1" si="76">(C277*O$1-O$2*F277+O$3*H277)^2</f>
        <v>0</v>
      </c>
      <c r="P277" s="32">
        <f t="shared" ref="P277:P340" ca="1" si="77">(-C277*O$2+O$4*F277-O$5*H277)^2</f>
        <v>0</v>
      </c>
      <c r="Q277" s="32">
        <f t="shared" ref="Q277:Q342" ca="1" si="78">+(C277*O$3-F277*O$5+H277*O$6)^2</f>
        <v>0</v>
      </c>
      <c r="R277" s="16">
        <f t="shared" ref="R277:R342" ca="1" si="79">+E277-M277</f>
        <v>-7.4214468061546803E-3</v>
      </c>
    </row>
    <row r="278" spans="1:18">
      <c r="A278" s="71"/>
      <c r="B278" s="71"/>
      <c r="C278" s="71"/>
      <c r="D278" s="72">
        <f t="shared" si="65"/>
        <v>0</v>
      </c>
      <c r="E278" s="72">
        <f t="shared" si="66"/>
        <v>0</v>
      </c>
      <c r="F278" s="32">
        <f t="shared" si="67"/>
        <v>0</v>
      </c>
      <c r="G278" s="32">
        <f t="shared" si="68"/>
        <v>0</v>
      </c>
      <c r="H278" s="32">
        <f t="shared" si="69"/>
        <v>0</v>
      </c>
      <c r="I278" s="32">
        <f t="shared" si="70"/>
        <v>0</v>
      </c>
      <c r="J278" s="32">
        <f t="shared" si="71"/>
        <v>0</v>
      </c>
      <c r="K278" s="32">
        <f t="shared" si="72"/>
        <v>0</v>
      </c>
      <c r="L278" s="32">
        <f t="shared" si="73"/>
        <v>0</v>
      </c>
      <c r="M278" s="32">
        <f t="shared" ca="1" si="74"/>
        <v>7.4214468061546803E-3</v>
      </c>
      <c r="N278" s="32">
        <f t="shared" ca="1" si="75"/>
        <v>0</v>
      </c>
      <c r="O278" s="122">
        <f t="shared" ca="1" si="76"/>
        <v>0</v>
      </c>
      <c r="P278" s="32">
        <f t="shared" ca="1" si="77"/>
        <v>0</v>
      </c>
      <c r="Q278" s="32">
        <f t="shared" ca="1" si="78"/>
        <v>0</v>
      </c>
      <c r="R278" s="16">
        <f t="shared" ca="1" si="79"/>
        <v>-7.4214468061546803E-3</v>
      </c>
    </row>
    <row r="279" spans="1:18">
      <c r="A279" s="71"/>
      <c r="B279" s="71"/>
      <c r="C279" s="71"/>
      <c r="D279" s="72">
        <f t="shared" si="65"/>
        <v>0</v>
      </c>
      <c r="E279" s="72">
        <f t="shared" si="66"/>
        <v>0</v>
      </c>
      <c r="F279" s="32">
        <f t="shared" si="67"/>
        <v>0</v>
      </c>
      <c r="G279" s="32">
        <f t="shared" si="68"/>
        <v>0</v>
      </c>
      <c r="H279" s="32">
        <f t="shared" si="69"/>
        <v>0</v>
      </c>
      <c r="I279" s="32">
        <f t="shared" si="70"/>
        <v>0</v>
      </c>
      <c r="J279" s="32">
        <f t="shared" si="71"/>
        <v>0</v>
      </c>
      <c r="K279" s="32">
        <f t="shared" si="72"/>
        <v>0</v>
      </c>
      <c r="L279" s="32">
        <f t="shared" si="73"/>
        <v>0</v>
      </c>
      <c r="M279" s="32">
        <f t="shared" ca="1" si="74"/>
        <v>7.4214468061546803E-3</v>
      </c>
      <c r="N279" s="32">
        <f t="shared" ca="1" si="75"/>
        <v>0</v>
      </c>
      <c r="O279" s="122">
        <f t="shared" ca="1" si="76"/>
        <v>0</v>
      </c>
      <c r="P279" s="32">
        <f t="shared" ca="1" si="77"/>
        <v>0</v>
      </c>
      <c r="Q279" s="32">
        <f t="shared" ca="1" si="78"/>
        <v>0</v>
      </c>
      <c r="R279" s="16">
        <f t="shared" ca="1" si="79"/>
        <v>-7.4214468061546803E-3</v>
      </c>
    </row>
    <row r="280" spans="1:18">
      <c r="A280" s="71"/>
      <c r="B280" s="71"/>
      <c r="C280" s="71"/>
      <c r="D280" s="72">
        <f t="shared" si="65"/>
        <v>0</v>
      </c>
      <c r="E280" s="72">
        <f t="shared" si="66"/>
        <v>0</v>
      </c>
      <c r="F280" s="32">
        <f t="shared" si="67"/>
        <v>0</v>
      </c>
      <c r="G280" s="32">
        <f t="shared" si="68"/>
        <v>0</v>
      </c>
      <c r="H280" s="32">
        <f t="shared" si="69"/>
        <v>0</v>
      </c>
      <c r="I280" s="32">
        <f t="shared" si="70"/>
        <v>0</v>
      </c>
      <c r="J280" s="32">
        <f t="shared" si="71"/>
        <v>0</v>
      </c>
      <c r="K280" s="32">
        <f t="shared" si="72"/>
        <v>0</v>
      </c>
      <c r="L280" s="32">
        <f t="shared" si="73"/>
        <v>0</v>
      </c>
      <c r="M280" s="32">
        <f t="shared" ca="1" si="74"/>
        <v>7.4214468061546803E-3</v>
      </c>
      <c r="N280" s="32">
        <f t="shared" ca="1" si="75"/>
        <v>0</v>
      </c>
      <c r="O280" s="122">
        <f t="shared" ca="1" si="76"/>
        <v>0</v>
      </c>
      <c r="P280" s="32">
        <f t="shared" ca="1" si="77"/>
        <v>0</v>
      </c>
      <c r="Q280" s="32">
        <f t="shared" ca="1" si="78"/>
        <v>0</v>
      </c>
      <c r="R280" s="16">
        <f t="shared" ca="1" si="79"/>
        <v>-7.4214468061546803E-3</v>
      </c>
    </row>
    <row r="281" spans="1:18">
      <c r="A281" s="71"/>
      <c r="B281" s="71"/>
      <c r="C281" s="71"/>
      <c r="D281" s="72">
        <f t="shared" si="65"/>
        <v>0</v>
      </c>
      <c r="E281" s="72">
        <f t="shared" si="66"/>
        <v>0</v>
      </c>
      <c r="F281" s="32">
        <f t="shared" si="67"/>
        <v>0</v>
      </c>
      <c r="G281" s="32">
        <f t="shared" si="68"/>
        <v>0</v>
      </c>
      <c r="H281" s="32">
        <f t="shared" si="69"/>
        <v>0</v>
      </c>
      <c r="I281" s="32">
        <f t="shared" si="70"/>
        <v>0</v>
      </c>
      <c r="J281" s="32">
        <f t="shared" si="71"/>
        <v>0</v>
      </c>
      <c r="K281" s="32">
        <f t="shared" si="72"/>
        <v>0</v>
      </c>
      <c r="L281" s="32">
        <f t="shared" si="73"/>
        <v>0</v>
      </c>
      <c r="M281" s="32">
        <f t="shared" ca="1" si="74"/>
        <v>7.4214468061546803E-3</v>
      </c>
      <c r="N281" s="32">
        <f t="shared" ca="1" si="75"/>
        <v>0</v>
      </c>
      <c r="O281" s="122">
        <f t="shared" ca="1" si="76"/>
        <v>0</v>
      </c>
      <c r="P281" s="32">
        <f t="shared" ca="1" si="77"/>
        <v>0</v>
      </c>
      <c r="Q281" s="32">
        <f t="shared" ca="1" si="78"/>
        <v>0</v>
      </c>
      <c r="R281" s="16">
        <f t="shared" ca="1" si="79"/>
        <v>-7.4214468061546803E-3</v>
      </c>
    </row>
    <row r="282" spans="1:18">
      <c r="A282" s="71"/>
      <c r="B282" s="71"/>
      <c r="C282" s="71"/>
      <c r="D282" s="72">
        <f t="shared" si="65"/>
        <v>0</v>
      </c>
      <c r="E282" s="72">
        <f t="shared" si="66"/>
        <v>0</v>
      </c>
      <c r="F282" s="32">
        <f t="shared" si="67"/>
        <v>0</v>
      </c>
      <c r="G282" s="32">
        <f t="shared" si="68"/>
        <v>0</v>
      </c>
      <c r="H282" s="32">
        <f t="shared" si="69"/>
        <v>0</v>
      </c>
      <c r="I282" s="32">
        <f t="shared" si="70"/>
        <v>0</v>
      </c>
      <c r="J282" s="32">
        <f t="shared" si="71"/>
        <v>0</v>
      </c>
      <c r="K282" s="32">
        <f t="shared" si="72"/>
        <v>0</v>
      </c>
      <c r="L282" s="32">
        <f t="shared" si="73"/>
        <v>0</v>
      </c>
      <c r="M282" s="32">
        <f t="shared" ca="1" si="74"/>
        <v>7.4214468061546803E-3</v>
      </c>
      <c r="N282" s="32">
        <f t="shared" ca="1" si="75"/>
        <v>0</v>
      </c>
      <c r="O282" s="122">
        <f t="shared" ca="1" si="76"/>
        <v>0</v>
      </c>
      <c r="P282" s="32">
        <f t="shared" ca="1" si="77"/>
        <v>0</v>
      </c>
      <c r="Q282" s="32">
        <f t="shared" ca="1" si="78"/>
        <v>0</v>
      </c>
      <c r="R282" s="16">
        <f t="shared" ca="1" si="79"/>
        <v>-7.4214468061546803E-3</v>
      </c>
    </row>
    <row r="283" spans="1:18">
      <c r="A283" s="71"/>
      <c r="B283" s="71"/>
      <c r="C283" s="71"/>
      <c r="D283" s="72">
        <f t="shared" si="65"/>
        <v>0</v>
      </c>
      <c r="E283" s="72">
        <f t="shared" si="66"/>
        <v>0</v>
      </c>
      <c r="F283" s="32">
        <f t="shared" si="67"/>
        <v>0</v>
      </c>
      <c r="G283" s="32">
        <f t="shared" si="68"/>
        <v>0</v>
      </c>
      <c r="H283" s="32">
        <f t="shared" si="69"/>
        <v>0</v>
      </c>
      <c r="I283" s="32">
        <f t="shared" si="70"/>
        <v>0</v>
      </c>
      <c r="J283" s="32">
        <f t="shared" si="71"/>
        <v>0</v>
      </c>
      <c r="K283" s="32">
        <f t="shared" si="72"/>
        <v>0</v>
      </c>
      <c r="L283" s="32">
        <f t="shared" si="73"/>
        <v>0</v>
      </c>
      <c r="M283" s="32">
        <f t="shared" ca="1" si="74"/>
        <v>7.4214468061546803E-3</v>
      </c>
      <c r="N283" s="32">
        <f t="shared" ca="1" si="75"/>
        <v>0</v>
      </c>
      <c r="O283" s="122">
        <f t="shared" ca="1" si="76"/>
        <v>0</v>
      </c>
      <c r="P283" s="32">
        <f t="shared" ca="1" si="77"/>
        <v>0</v>
      </c>
      <c r="Q283" s="32">
        <f t="shared" ca="1" si="78"/>
        <v>0</v>
      </c>
      <c r="R283" s="16">
        <f t="shared" ca="1" si="79"/>
        <v>-7.4214468061546803E-3</v>
      </c>
    </row>
    <row r="284" spans="1:18">
      <c r="A284" s="71"/>
      <c r="B284" s="71"/>
      <c r="C284" s="71"/>
      <c r="D284" s="72">
        <f t="shared" si="65"/>
        <v>0</v>
      </c>
      <c r="E284" s="72">
        <f t="shared" si="66"/>
        <v>0</v>
      </c>
      <c r="F284" s="32">
        <f t="shared" si="67"/>
        <v>0</v>
      </c>
      <c r="G284" s="32">
        <f t="shared" si="68"/>
        <v>0</v>
      </c>
      <c r="H284" s="32">
        <f t="shared" si="69"/>
        <v>0</v>
      </c>
      <c r="I284" s="32">
        <f t="shared" si="70"/>
        <v>0</v>
      </c>
      <c r="J284" s="32">
        <f t="shared" si="71"/>
        <v>0</v>
      </c>
      <c r="K284" s="32">
        <f t="shared" si="72"/>
        <v>0</v>
      </c>
      <c r="L284" s="32">
        <f t="shared" si="73"/>
        <v>0</v>
      </c>
      <c r="M284" s="32">
        <f t="shared" ca="1" si="74"/>
        <v>7.4214468061546803E-3</v>
      </c>
      <c r="N284" s="32">
        <f t="shared" ca="1" si="75"/>
        <v>0</v>
      </c>
      <c r="O284" s="122">
        <f t="shared" ca="1" si="76"/>
        <v>0</v>
      </c>
      <c r="P284" s="32">
        <f t="shared" ca="1" si="77"/>
        <v>0</v>
      </c>
      <c r="Q284" s="32">
        <f t="shared" ca="1" si="78"/>
        <v>0</v>
      </c>
      <c r="R284" s="16">
        <f t="shared" ca="1" si="79"/>
        <v>-7.4214468061546803E-3</v>
      </c>
    </row>
    <row r="285" spans="1:18">
      <c r="A285" s="71"/>
      <c r="B285" s="71"/>
      <c r="C285" s="71"/>
      <c r="D285" s="72">
        <f t="shared" si="65"/>
        <v>0</v>
      </c>
      <c r="E285" s="72">
        <f t="shared" si="66"/>
        <v>0</v>
      </c>
      <c r="F285" s="32">
        <f t="shared" si="67"/>
        <v>0</v>
      </c>
      <c r="G285" s="32">
        <f t="shared" si="68"/>
        <v>0</v>
      </c>
      <c r="H285" s="32">
        <f t="shared" si="69"/>
        <v>0</v>
      </c>
      <c r="I285" s="32">
        <f t="shared" si="70"/>
        <v>0</v>
      </c>
      <c r="J285" s="32">
        <f t="shared" si="71"/>
        <v>0</v>
      </c>
      <c r="K285" s="32">
        <f t="shared" si="72"/>
        <v>0</v>
      </c>
      <c r="L285" s="32">
        <f t="shared" si="73"/>
        <v>0</v>
      </c>
      <c r="M285" s="32">
        <f t="shared" ca="1" si="74"/>
        <v>7.4214468061546803E-3</v>
      </c>
      <c r="N285" s="32">
        <f t="shared" ca="1" si="75"/>
        <v>0</v>
      </c>
      <c r="O285" s="122">
        <f t="shared" ca="1" si="76"/>
        <v>0</v>
      </c>
      <c r="P285" s="32">
        <f t="shared" ca="1" si="77"/>
        <v>0</v>
      </c>
      <c r="Q285" s="32">
        <f t="shared" ca="1" si="78"/>
        <v>0</v>
      </c>
      <c r="R285" s="16">
        <f t="shared" ca="1" si="79"/>
        <v>-7.4214468061546803E-3</v>
      </c>
    </row>
    <row r="286" spans="1:18">
      <c r="A286" s="71"/>
      <c r="B286" s="71"/>
      <c r="C286" s="71"/>
      <c r="D286" s="72">
        <f t="shared" si="65"/>
        <v>0</v>
      </c>
      <c r="E286" s="72">
        <f t="shared" si="66"/>
        <v>0</v>
      </c>
      <c r="F286" s="32">
        <f t="shared" si="67"/>
        <v>0</v>
      </c>
      <c r="G286" s="32">
        <f t="shared" si="68"/>
        <v>0</v>
      </c>
      <c r="H286" s="32">
        <f t="shared" si="69"/>
        <v>0</v>
      </c>
      <c r="I286" s="32">
        <f t="shared" si="70"/>
        <v>0</v>
      </c>
      <c r="J286" s="32">
        <f t="shared" si="71"/>
        <v>0</v>
      </c>
      <c r="K286" s="32">
        <f t="shared" si="72"/>
        <v>0</v>
      </c>
      <c r="L286" s="32">
        <f t="shared" si="73"/>
        <v>0</v>
      </c>
      <c r="M286" s="32">
        <f t="shared" ca="1" si="74"/>
        <v>7.4214468061546803E-3</v>
      </c>
      <c r="N286" s="32">
        <f t="shared" ca="1" si="75"/>
        <v>0</v>
      </c>
      <c r="O286" s="122">
        <f t="shared" ca="1" si="76"/>
        <v>0</v>
      </c>
      <c r="P286" s="32">
        <f t="shared" ca="1" si="77"/>
        <v>0</v>
      </c>
      <c r="Q286" s="32">
        <f t="shared" ca="1" si="78"/>
        <v>0</v>
      </c>
      <c r="R286" s="16">
        <f t="shared" ca="1" si="79"/>
        <v>-7.4214468061546803E-3</v>
      </c>
    </row>
    <row r="287" spans="1:18">
      <c r="A287" s="71"/>
      <c r="B287" s="71"/>
      <c r="C287" s="71"/>
      <c r="D287" s="72">
        <f t="shared" si="65"/>
        <v>0</v>
      </c>
      <c r="E287" s="72">
        <f t="shared" si="66"/>
        <v>0</v>
      </c>
      <c r="F287" s="32">
        <f t="shared" si="67"/>
        <v>0</v>
      </c>
      <c r="G287" s="32">
        <f t="shared" si="68"/>
        <v>0</v>
      </c>
      <c r="H287" s="32">
        <f t="shared" si="69"/>
        <v>0</v>
      </c>
      <c r="I287" s="32">
        <f t="shared" si="70"/>
        <v>0</v>
      </c>
      <c r="J287" s="32">
        <f t="shared" si="71"/>
        <v>0</v>
      </c>
      <c r="K287" s="32">
        <f t="shared" si="72"/>
        <v>0</v>
      </c>
      <c r="L287" s="32">
        <f t="shared" si="73"/>
        <v>0</v>
      </c>
      <c r="M287" s="32">
        <f t="shared" ca="1" si="74"/>
        <v>7.4214468061546803E-3</v>
      </c>
      <c r="N287" s="32">
        <f t="shared" ca="1" si="75"/>
        <v>0</v>
      </c>
      <c r="O287" s="122">
        <f t="shared" ca="1" si="76"/>
        <v>0</v>
      </c>
      <c r="P287" s="32">
        <f t="shared" ca="1" si="77"/>
        <v>0</v>
      </c>
      <c r="Q287" s="32">
        <f t="shared" ca="1" si="78"/>
        <v>0</v>
      </c>
      <c r="R287" s="16">
        <f t="shared" ca="1" si="79"/>
        <v>-7.4214468061546803E-3</v>
      </c>
    </row>
    <row r="288" spans="1:18">
      <c r="A288" s="71"/>
      <c r="B288" s="71"/>
      <c r="C288" s="71"/>
      <c r="D288" s="72">
        <f t="shared" si="65"/>
        <v>0</v>
      </c>
      <c r="E288" s="72">
        <f t="shared" si="66"/>
        <v>0</v>
      </c>
      <c r="F288" s="32">
        <f t="shared" si="67"/>
        <v>0</v>
      </c>
      <c r="G288" s="32">
        <f t="shared" si="68"/>
        <v>0</v>
      </c>
      <c r="H288" s="32">
        <f t="shared" si="69"/>
        <v>0</v>
      </c>
      <c r="I288" s="32">
        <f t="shared" si="70"/>
        <v>0</v>
      </c>
      <c r="J288" s="32">
        <f t="shared" si="71"/>
        <v>0</v>
      </c>
      <c r="K288" s="32">
        <f t="shared" si="72"/>
        <v>0</v>
      </c>
      <c r="L288" s="32">
        <f t="shared" si="73"/>
        <v>0</v>
      </c>
      <c r="M288" s="32">
        <f t="shared" ca="1" si="74"/>
        <v>7.4214468061546803E-3</v>
      </c>
      <c r="N288" s="32">
        <f t="shared" ca="1" si="75"/>
        <v>0</v>
      </c>
      <c r="O288" s="122">
        <f t="shared" ca="1" si="76"/>
        <v>0</v>
      </c>
      <c r="P288" s="32">
        <f t="shared" ca="1" si="77"/>
        <v>0</v>
      </c>
      <c r="Q288" s="32">
        <f t="shared" ca="1" si="78"/>
        <v>0</v>
      </c>
      <c r="R288" s="16">
        <f t="shared" ca="1" si="79"/>
        <v>-7.4214468061546803E-3</v>
      </c>
    </row>
    <row r="289" spans="1:18">
      <c r="A289" s="71"/>
      <c r="B289" s="71"/>
      <c r="C289" s="71"/>
      <c r="D289" s="72">
        <f t="shared" si="65"/>
        <v>0</v>
      </c>
      <c r="E289" s="72">
        <f t="shared" si="66"/>
        <v>0</v>
      </c>
      <c r="F289" s="32">
        <f t="shared" si="67"/>
        <v>0</v>
      </c>
      <c r="G289" s="32">
        <f t="shared" si="68"/>
        <v>0</v>
      </c>
      <c r="H289" s="32">
        <f t="shared" si="69"/>
        <v>0</v>
      </c>
      <c r="I289" s="32">
        <f t="shared" si="70"/>
        <v>0</v>
      </c>
      <c r="J289" s="32">
        <f t="shared" si="71"/>
        <v>0</v>
      </c>
      <c r="K289" s="32">
        <f t="shared" si="72"/>
        <v>0</v>
      </c>
      <c r="L289" s="32">
        <f t="shared" si="73"/>
        <v>0</v>
      </c>
      <c r="M289" s="32">
        <f t="shared" ca="1" si="74"/>
        <v>7.4214468061546803E-3</v>
      </c>
      <c r="N289" s="32">
        <f t="shared" ca="1" si="75"/>
        <v>0</v>
      </c>
      <c r="O289" s="122">
        <f t="shared" ca="1" si="76"/>
        <v>0</v>
      </c>
      <c r="P289" s="32">
        <f t="shared" ca="1" si="77"/>
        <v>0</v>
      </c>
      <c r="Q289" s="32">
        <f t="shared" ca="1" si="78"/>
        <v>0</v>
      </c>
      <c r="R289" s="16">
        <f t="shared" ca="1" si="79"/>
        <v>-7.4214468061546803E-3</v>
      </c>
    </row>
    <row r="290" spans="1:18">
      <c r="A290" s="71"/>
      <c r="B290" s="71"/>
      <c r="C290" s="71"/>
      <c r="D290" s="72">
        <f t="shared" si="65"/>
        <v>0</v>
      </c>
      <c r="E290" s="72">
        <f t="shared" si="66"/>
        <v>0</v>
      </c>
      <c r="F290" s="32">
        <f t="shared" si="67"/>
        <v>0</v>
      </c>
      <c r="G290" s="32">
        <f t="shared" si="68"/>
        <v>0</v>
      </c>
      <c r="H290" s="32">
        <f t="shared" si="69"/>
        <v>0</v>
      </c>
      <c r="I290" s="32">
        <f t="shared" si="70"/>
        <v>0</v>
      </c>
      <c r="J290" s="32">
        <f t="shared" si="71"/>
        <v>0</v>
      </c>
      <c r="K290" s="32">
        <f t="shared" si="72"/>
        <v>0</v>
      </c>
      <c r="L290" s="32">
        <f t="shared" si="73"/>
        <v>0</v>
      </c>
      <c r="M290" s="32">
        <f t="shared" ca="1" si="74"/>
        <v>7.4214468061546803E-3</v>
      </c>
      <c r="N290" s="32">
        <f t="shared" ca="1" si="75"/>
        <v>0</v>
      </c>
      <c r="O290" s="122">
        <f t="shared" ca="1" si="76"/>
        <v>0</v>
      </c>
      <c r="P290" s="32">
        <f t="shared" ca="1" si="77"/>
        <v>0</v>
      </c>
      <c r="Q290" s="32">
        <f t="shared" ca="1" si="78"/>
        <v>0</v>
      </c>
      <c r="R290" s="16">
        <f t="shared" ca="1" si="79"/>
        <v>-7.4214468061546803E-3</v>
      </c>
    </row>
    <row r="291" spans="1:18">
      <c r="A291" s="71"/>
      <c r="B291" s="71"/>
      <c r="C291" s="71"/>
      <c r="D291" s="72">
        <f t="shared" si="65"/>
        <v>0</v>
      </c>
      <c r="E291" s="72">
        <f t="shared" si="66"/>
        <v>0</v>
      </c>
      <c r="F291" s="32">
        <f t="shared" si="67"/>
        <v>0</v>
      </c>
      <c r="G291" s="32">
        <f t="shared" si="68"/>
        <v>0</v>
      </c>
      <c r="H291" s="32">
        <f t="shared" si="69"/>
        <v>0</v>
      </c>
      <c r="I291" s="32">
        <f t="shared" si="70"/>
        <v>0</v>
      </c>
      <c r="J291" s="32">
        <f t="shared" si="71"/>
        <v>0</v>
      </c>
      <c r="K291" s="32">
        <f t="shared" si="72"/>
        <v>0</v>
      </c>
      <c r="L291" s="32">
        <f t="shared" si="73"/>
        <v>0</v>
      </c>
      <c r="M291" s="32">
        <f t="shared" ca="1" si="74"/>
        <v>7.4214468061546803E-3</v>
      </c>
      <c r="N291" s="32">
        <f t="shared" ca="1" si="75"/>
        <v>0</v>
      </c>
      <c r="O291" s="122">
        <f t="shared" ca="1" si="76"/>
        <v>0</v>
      </c>
      <c r="P291" s="32">
        <f t="shared" ca="1" si="77"/>
        <v>0</v>
      </c>
      <c r="Q291" s="32">
        <f t="shared" ca="1" si="78"/>
        <v>0</v>
      </c>
      <c r="R291" s="16">
        <f t="shared" ca="1" si="79"/>
        <v>-7.4214468061546803E-3</v>
      </c>
    </row>
    <row r="292" spans="1:18">
      <c r="A292" s="71"/>
      <c r="B292" s="71"/>
      <c r="C292" s="71"/>
      <c r="D292" s="72">
        <f t="shared" si="65"/>
        <v>0</v>
      </c>
      <c r="E292" s="72">
        <f t="shared" si="66"/>
        <v>0</v>
      </c>
      <c r="F292" s="32">
        <f t="shared" si="67"/>
        <v>0</v>
      </c>
      <c r="G292" s="32">
        <f t="shared" si="68"/>
        <v>0</v>
      </c>
      <c r="H292" s="32">
        <f t="shared" si="69"/>
        <v>0</v>
      </c>
      <c r="I292" s="32">
        <f t="shared" si="70"/>
        <v>0</v>
      </c>
      <c r="J292" s="32">
        <f t="shared" si="71"/>
        <v>0</v>
      </c>
      <c r="K292" s="32">
        <f t="shared" si="72"/>
        <v>0</v>
      </c>
      <c r="L292" s="32">
        <f t="shared" si="73"/>
        <v>0</v>
      </c>
      <c r="M292" s="32">
        <f t="shared" ca="1" si="74"/>
        <v>7.4214468061546803E-3</v>
      </c>
      <c r="N292" s="32">
        <f t="shared" ca="1" si="75"/>
        <v>0</v>
      </c>
      <c r="O292" s="122">
        <f t="shared" ca="1" si="76"/>
        <v>0</v>
      </c>
      <c r="P292" s="32">
        <f t="shared" ca="1" si="77"/>
        <v>0</v>
      </c>
      <c r="Q292" s="32">
        <f t="shared" ca="1" si="78"/>
        <v>0</v>
      </c>
      <c r="R292" s="16">
        <f t="shared" ca="1" si="79"/>
        <v>-7.4214468061546803E-3</v>
      </c>
    </row>
    <row r="293" spans="1:18">
      <c r="A293" s="71"/>
      <c r="B293" s="71"/>
      <c r="C293" s="71"/>
      <c r="D293" s="72">
        <f t="shared" si="65"/>
        <v>0</v>
      </c>
      <c r="E293" s="72">
        <f t="shared" si="66"/>
        <v>0</v>
      </c>
      <c r="F293" s="32">
        <f t="shared" si="67"/>
        <v>0</v>
      </c>
      <c r="G293" s="32">
        <f t="shared" si="68"/>
        <v>0</v>
      </c>
      <c r="H293" s="32">
        <f t="shared" si="69"/>
        <v>0</v>
      </c>
      <c r="I293" s="32">
        <f t="shared" si="70"/>
        <v>0</v>
      </c>
      <c r="J293" s="32">
        <f t="shared" si="71"/>
        <v>0</v>
      </c>
      <c r="K293" s="32">
        <f t="shared" si="72"/>
        <v>0</v>
      </c>
      <c r="L293" s="32">
        <f t="shared" si="73"/>
        <v>0</v>
      </c>
      <c r="M293" s="32">
        <f t="shared" ca="1" si="74"/>
        <v>7.4214468061546803E-3</v>
      </c>
      <c r="N293" s="32">
        <f t="shared" ca="1" si="75"/>
        <v>0</v>
      </c>
      <c r="O293" s="122">
        <f t="shared" ca="1" si="76"/>
        <v>0</v>
      </c>
      <c r="P293" s="32">
        <f t="shared" ca="1" si="77"/>
        <v>0</v>
      </c>
      <c r="Q293" s="32">
        <f t="shared" ca="1" si="78"/>
        <v>0</v>
      </c>
      <c r="R293" s="16">
        <f t="shared" ca="1" si="79"/>
        <v>-7.4214468061546803E-3</v>
      </c>
    </row>
    <row r="294" spans="1:18">
      <c r="A294" s="71"/>
      <c r="B294" s="71"/>
      <c r="C294" s="71"/>
      <c r="D294" s="72">
        <f t="shared" si="65"/>
        <v>0</v>
      </c>
      <c r="E294" s="72">
        <f t="shared" si="66"/>
        <v>0</v>
      </c>
      <c r="F294" s="32">
        <f t="shared" si="67"/>
        <v>0</v>
      </c>
      <c r="G294" s="32">
        <f t="shared" si="68"/>
        <v>0</v>
      </c>
      <c r="H294" s="32">
        <f t="shared" si="69"/>
        <v>0</v>
      </c>
      <c r="I294" s="32">
        <f t="shared" si="70"/>
        <v>0</v>
      </c>
      <c r="J294" s="32">
        <f t="shared" si="71"/>
        <v>0</v>
      </c>
      <c r="K294" s="32">
        <f t="shared" si="72"/>
        <v>0</v>
      </c>
      <c r="L294" s="32">
        <f t="shared" si="73"/>
        <v>0</v>
      </c>
      <c r="M294" s="32">
        <f t="shared" ca="1" si="74"/>
        <v>7.4214468061546803E-3</v>
      </c>
      <c r="N294" s="32">
        <f t="shared" ca="1" si="75"/>
        <v>0</v>
      </c>
      <c r="O294" s="122">
        <f t="shared" ca="1" si="76"/>
        <v>0</v>
      </c>
      <c r="P294" s="32">
        <f t="shared" ca="1" si="77"/>
        <v>0</v>
      </c>
      <c r="Q294" s="32">
        <f t="shared" ca="1" si="78"/>
        <v>0</v>
      </c>
      <c r="R294" s="16">
        <f t="shared" ca="1" si="79"/>
        <v>-7.4214468061546803E-3</v>
      </c>
    </row>
    <row r="295" spans="1:18">
      <c r="A295" s="71"/>
      <c r="B295" s="71"/>
      <c r="C295" s="71"/>
      <c r="D295" s="72">
        <f t="shared" si="65"/>
        <v>0</v>
      </c>
      <c r="E295" s="72">
        <f t="shared" si="66"/>
        <v>0</v>
      </c>
      <c r="F295" s="32">
        <f t="shared" si="67"/>
        <v>0</v>
      </c>
      <c r="G295" s="32">
        <f t="shared" si="68"/>
        <v>0</v>
      </c>
      <c r="H295" s="32">
        <f t="shared" si="69"/>
        <v>0</v>
      </c>
      <c r="I295" s="32">
        <f t="shared" si="70"/>
        <v>0</v>
      </c>
      <c r="J295" s="32">
        <f t="shared" si="71"/>
        <v>0</v>
      </c>
      <c r="K295" s="32">
        <f t="shared" si="72"/>
        <v>0</v>
      </c>
      <c r="L295" s="32">
        <f t="shared" si="73"/>
        <v>0</v>
      </c>
      <c r="M295" s="32">
        <f t="shared" ca="1" si="74"/>
        <v>7.4214468061546803E-3</v>
      </c>
      <c r="N295" s="32">
        <f t="shared" ca="1" si="75"/>
        <v>0</v>
      </c>
      <c r="O295" s="122">
        <f t="shared" ca="1" si="76"/>
        <v>0</v>
      </c>
      <c r="P295" s="32">
        <f t="shared" ca="1" si="77"/>
        <v>0</v>
      </c>
      <c r="Q295" s="32">
        <f t="shared" ca="1" si="78"/>
        <v>0</v>
      </c>
      <c r="R295" s="16">
        <f t="shared" ca="1" si="79"/>
        <v>-7.4214468061546803E-3</v>
      </c>
    </row>
    <row r="296" spans="1:18">
      <c r="A296" s="71"/>
      <c r="B296" s="71"/>
      <c r="C296" s="71"/>
      <c r="D296" s="72">
        <f t="shared" si="65"/>
        <v>0</v>
      </c>
      <c r="E296" s="72">
        <f t="shared" si="66"/>
        <v>0</v>
      </c>
      <c r="F296" s="32">
        <f t="shared" si="67"/>
        <v>0</v>
      </c>
      <c r="G296" s="32">
        <f t="shared" si="68"/>
        <v>0</v>
      </c>
      <c r="H296" s="32">
        <f t="shared" si="69"/>
        <v>0</v>
      </c>
      <c r="I296" s="32">
        <f t="shared" si="70"/>
        <v>0</v>
      </c>
      <c r="J296" s="32">
        <f t="shared" si="71"/>
        <v>0</v>
      </c>
      <c r="K296" s="32">
        <f t="shared" si="72"/>
        <v>0</v>
      </c>
      <c r="L296" s="32">
        <f t="shared" si="73"/>
        <v>0</v>
      </c>
      <c r="M296" s="32">
        <f t="shared" ca="1" si="74"/>
        <v>7.4214468061546803E-3</v>
      </c>
      <c r="N296" s="32">
        <f t="shared" ca="1" si="75"/>
        <v>0</v>
      </c>
      <c r="O296" s="122">
        <f t="shared" ca="1" si="76"/>
        <v>0</v>
      </c>
      <c r="P296" s="32">
        <f t="shared" ca="1" si="77"/>
        <v>0</v>
      </c>
      <c r="Q296" s="32">
        <f t="shared" ca="1" si="78"/>
        <v>0</v>
      </c>
      <c r="R296" s="16">
        <f t="shared" ca="1" si="79"/>
        <v>-7.4214468061546803E-3</v>
      </c>
    </row>
    <row r="297" spans="1:18">
      <c r="A297" s="71"/>
      <c r="B297" s="71"/>
      <c r="C297" s="71"/>
      <c r="D297" s="72">
        <f t="shared" si="65"/>
        <v>0</v>
      </c>
      <c r="E297" s="72">
        <f t="shared" si="66"/>
        <v>0</v>
      </c>
      <c r="F297" s="32">
        <f t="shared" si="67"/>
        <v>0</v>
      </c>
      <c r="G297" s="32">
        <f t="shared" si="68"/>
        <v>0</v>
      </c>
      <c r="H297" s="32">
        <f t="shared" si="69"/>
        <v>0</v>
      </c>
      <c r="I297" s="32">
        <f t="shared" si="70"/>
        <v>0</v>
      </c>
      <c r="J297" s="32">
        <f t="shared" si="71"/>
        <v>0</v>
      </c>
      <c r="K297" s="32">
        <f t="shared" si="72"/>
        <v>0</v>
      </c>
      <c r="L297" s="32">
        <f t="shared" si="73"/>
        <v>0</v>
      </c>
      <c r="M297" s="32">
        <f t="shared" ca="1" si="74"/>
        <v>7.4214468061546803E-3</v>
      </c>
      <c r="N297" s="32">
        <f t="shared" ca="1" si="75"/>
        <v>0</v>
      </c>
      <c r="O297" s="122">
        <f t="shared" ca="1" si="76"/>
        <v>0</v>
      </c>
      <c r="P297" s="32">
        <f t="shared" ca="1" si="77"/>
        <v>0</v>
      </c>
      <c r="Q297" s="32">
        <f t="shared" ca="1" si="78"/>
        <v>0</v>
      </c>
      <c r="R297" s="16">
        <f t="shared" ca="1" si="79"/>
        <v>-7.4214468061546803E-3</v>
      </c>
    </row>
    <row r="298" spans="1:18">
      <c r="A298" s="71"/>
      <c r="B298" s="71"/>
      <c r="C298" s="71"/>
      <c r="D298" s="72">
        <f t="shared" si="65"/>
        <v>0</v>
      </c>
      <c r="E298" s="72">
        <f t="shared" si="66"/>
        <v>0</v>
      </c>
      <c r="F298" s="32">
        <f t="shared" si="67"/>
        <v>0</v>
      </c>
      <c r="G298" s="32">
        <f t="shared" si="68"/>
        <v>0</v>
      </c>
      <c r="H298" s="32">
        <f t="shared" si="69"/>
        <v>0</v>
      </c>
      <c r="I298" s="32">
        <f t="shared" si="70"/>
        <v>0</v>
      </c>
      <c r="J298" s="32">
        <f t="shared" si="71"/>
        <v>0</v>
      </c>
      <c r="K298" s="32">
        <f t="shared" si="72"/>
        <v>0</v>
      </c>
      <c r="L298" s="32">
        <f t="shared" si="73"/>
        <v>0</v>
      </c>
      <c r="M298" s="32">
        <f t="shared" ca="1" si="74"/>
        <v>7.4214468061546803E-3</v>
      </c>
      <c r="N298" s="32">
        <f t="shared" ca="1" si="75"/>
        <v>0</v>
      </c>
      <c r="O298" s="122">
        <f t="shared" ca="1" si="76"/>
        <v>0</v>
      </c>
      <c r="P298" s="32">
        <f t="shared" ca="1" si="77"/>
        <v>0</v>
      </c>
      <c r="Q298" s="32">
        <f t="shared" ca="1" si="78"/>
        <v>0</v>
      </c>
      <c r="R298" s="16">
        <f t="shared" ca="1" si="79"/>
        <v>-7.4214468061546803E-3</v>
      </c>
    </row>
    <row r="299" spans="1:18">
      <c r="A299" s="71"/>
      <c r="B299" s="71"/>
      <c r="C299" s="71"/>
      <c r="D299" s="72">
        <f t="shared" si="65"/>
        <v>0</v>
      </c>
      <c r="E299" s="72">
        <f t="shared" si="66"/>
        <v>0</v>
      </c>
      <c r="F299" s="32">
        <f t="shared" si="67"/>
        <v>0</v>
      </c>
      <c r="G299" s="32">
        <f t="shared" si="68"/>
        <v>0</v>
      </c>
      <c r="H299" s="32">
        <f t="shared" si="69"/>
        <v>0</v>
      </c>
      <c r="I299" s="32">
        <f t="shared" si="70"/>
        <v>0</v>
      </c>
      <c r="J299" s="32">
        <f t="shared" si="71"/>
        <v>0</v>
      </c>
      <c r="K299" s="32">
        <f t="shared" si="72"/>
        <v>0</v>
      </c>
      <c r="L299" s="32">
        <f t="shared" si="73"/>
        <v>0</v>
      </c>
      <c r="M299" s="32">
        <f t="shared" ca="1" si="74"/>
        <v>7.4214468061546803E-3</v>
      </c>
      <c r="N299" s="32">
        <f t="shared" ca="1" si="75"/>
        <v>0</v>
      </c>
      <c r="O299" s="122">
        <f t="shared" ca="1" si="76"/>
        <v>0</v>
      </c>
      <c r="P299" s="32">
        <f t="shared" ca="1" si="77"/>
        <v>0</v>
      </c>
      <c r="Q299" s="32">
        <f t="shared" ca="1" si="78"/>
        <v>0</v>
      </c>
      <c r="R299" s="16">
        <f t="shared" ca="1" si="79"/>
        <v>-7.4214468061546803E-3</v>
      </c>
    </row>
    <row r="300" spans="1:18">
      <c r="A300" s="71"/>
      <c r="B300" s="71"/>
      <c r="C300" s="71"/>
      <c r="D300" s="72">
        <f t="shared" si="65"/>
        <v>0</v>
      </c>
      <c r="E300" s="72">
        <f t="shared" si="66"/>
        <v>0</v>
      </c>
      <c r="F300" s="32">
        <f t="shared" si="67"/>
        <v>0</v>
      </c>
      <c r="G300" s="32">
        <f t="shared" si="68"/>
        <v>0</v>
      </c>
      <c r="H300" s="32">
        <f t="shared" si="69"/>
        <v>0</v>
      </c>
      <c r="I300" s="32">
        <f t="shared" si="70"/>
        <v>0</v>
      </c>
      <c r="J300" s="32">
        <f t="shared" si="71"/>
        <v>0</v>
      </c>
      <c r="K300" s="32">
        <f t="shared" si="72"/>
        <v>0</v>
      </c>
      <c r="L300" s="32">
        <f t="shared" si="73"/>
        <v>0</v>
      </c>
      <c r="M300" s="32">
        <f t="shared" ca="1" si="74"/>
        <v>7.4214468061546803E-3</v>
      </c>
      <c r="N300" s="32">
        <f t="shared" ca="1" si="75"/>
        <v>0</v>
      </c>
      <c r="O300" s="122">
        <f t="shared" ca="1" si="76"/>
        <v>0</v>
      </c>
      <c r="P300" s="32">
        <f t="shared" ca="1" si="77"/>
        <v>0</v>
      </c>
      <c r="Q300" s="32">
        <f t="shared" ca="1" si="78"/>
        <v>0</v>
      </c>
      <c r="R300" s="16">
        <f t="shared" ca="1" si="79"/>
        <v>-7.4214468061546803E-3</v>
      </c>
    </row>
    <row r="301" spans="1:18">
      <c r="A301" s="71"/>
      <c r="B301" s="71"/>
      <c r="C301" s="71"/>
      <c r="D301" s="72">
        <f t="shared" si="65"/>
        <v>0</v>
      </c>
      <c r="E301" s="72">
        <f t="shared" si="66"/>
        <v>0</v>
      </c>
      <c r="F301" s="32">
        <f t="shared" si="67"/>
        <v>0</v>
      </c>
      <c r="G301" s="32">
        <f t="shared" si="68"/>
        <v>0</v>
      </c>
      <c r="H301" s="32">
        <f t="shared" si="69"/>
        <v>0</v>
      </c>
      <c r="I301" s="32">
        <f t="shared" si="70"/>
        <v>0</v>
      </c>
      <c r="J301" s="32">
        <f t="shared" si="71"/>
        <v>0</v>
      </c>
      <c r="K301" s="32">
        <f t="shared" si="72"/>
        <v>0</v>
      </c>
      <c r="L301" s="32">
        <f t="shared" si="73"/>
        <v>0</v>
      </c>
      <c r="M301" s="32">
        <f t="shared" ca="1" si="74"/>
        <v>7.4214468061546803E-3</v>
      </c>
      <c r="N301" s="32">
        <f t="shared" ca="1" si="75"/>
        <v>0</v>
      </c>
      <c r="O301" s="122">
        <f t="shared" ca="1" si="76"/>
        <v>0</v>
      </c>
      <c r="P301" s="32">
        <f t="shared" ca="1" si="77"/>
        <v>0</v>
      </c>
      <c r="Q301" s="32">
        <f t="shared" ca="1" si="78"/>
        <v>0</v>
      </c>
      <c r="R301" s="16">
        <f t="shared" ca="1" si="79"/>
        <v>-7.4214468061546803E-3</v>
      </c>
    </row>
    <row r="302" spans="1:18">
      <c r="A302" s="71"/>
      <c r="B302" s="71"/>
      <c r="C302" s="71"/>
      <c r="D302" s="72">
        <f t="shared" si="65"/>
        <v>0</v>
      </c>
      <c r="E302" s="72">
        <f t="shared" si="66"/>
        <v>0</v>
      </c>
      <c r="F302" s="32">
        <f t="shared" si="67"/>
        <v>0</v>
      </c>
      <c r="G302" s="32">
        <f t="shared" si="68"/>
        <v>0</v>
      </c>
      <c r="H302" s="32">
        <f t="shared" si="69"/>
        <v>0</v>
      </c>
      <c r="I302" s="32">
        <f t="shared" si="70"/>
        <v>0</v>
      </c>
      <c r="J302" s="32">
        <f t="shared" si="71"/>
        <v>0</v>
      </c>
      <c r="K302" s="32">
        <f t="shared" si="72"/>
        <v>0</v>
      </c>
      <c r="L302" s="32">
        <f t="shared" si="73"/>
        <v>0</v>
      </c>
      <c r="M302" s="32">
        <f t="shared" ca="1" si="74"/>
        <v>7.4214468061546803E-3</v>
      </c>
      <c r="N302" s="32">
        <f t="shared" ca="1" si="75"/>
        <v>0</v>
      </c>
      <c r="O302" s="122">
        <f t="shared" ca="1" si="76"/>
        <v>0</v>
      </c>
      <c r="P302" s="32">
        <f t="shared" ca="1" si="77"/>
        <v>0</v>
      </c>
      <c r="Q302" s="32">
        <f t="shared" ca="1" si="78"/>
        <v>0</v>
      </c>
      <c r="R302" s="16">
        <f t="shared" ca="1" si="79"/>
        <v>-7.4214468061546803E-3</v>
      </c>
    </row>
    <row r="303" spans="1:18">
      <c r="A303" s="71"/>
      <c r="B303" s="71"/>
      <c r="C303" s="71"/>
      <c r="D303" s="72">
        <f t="shared" si="65"/>
        <v>0</v>
      </c>
      <c r="E303" s="72">
        <f t="shared" si="66"/>
        <v>0</v>
      </c>
      <c r="F303" s="32">
        <f t="shared" si="67"/>
        <v>0</v>
      </c>
      <c r="G303" s="32">
        <f t="shared" si="68"/>
        <v>0</v>
      </c>
      <c r="H303" s="32">
        <f t="shared" si="69"/>
        <v>0</v>
      </c>
      <c r="I303" s="32">
        <f t="shared" si="70"/>
        <v>0</v>
      </c>
      <c r="J303" s="32">
        <f t="shared" si="71"/>
        <v>0</v>
      </c>
      <c r="K303" s="32">
        <f t="shared" si="72"/>
        <v>0</v>
      </c>
      <c r="L303" s="32">
        <f t="shared" si="73"/>
        <v>0</v>
      </c>
      <c r="M303" s="32">
        <f t="shared" ca="1" si="74"/>
        <v>7.4214468061546803E-3</v>
      </c>
      <c r="N303" s="32">
        <f t="shared" ca="1" si="75"/>
        <v>0</v>
      </c>
      <c r="O303" s="122">
        <f t="shared" ca="1" si="76"/>
        <v>0</v>
      </c>
      <c r="P303" s="32">
        <f t="shared" ca="1" si="77"/>
        <v>0</v>
      </c>
      <c r="Q303" s="32">
        <f t="shared" ca="1" si="78"/>
        <v>0</v>
      </c>
      <c r="R303" s="16">
        <f t="shared" ca="1" si="79"/>
        <v>-7.4214468061546803E-3</v>
      </c>
    </row>
    <row r="304" spans="1:18">
      <c r="A304" s="71"/>
      <c r="B304" s="71"/>
      <c r="C304" s="71"/>
      <c r="D304" s="72">
        <f t="shared" si="65"/>
        <v>0</v>
      </c>
      <c r="E304" s="72">
        <f t="shared" si="66"/>
        <v>0</v>
      </c>
      <c r="F304" s="32">
        <f t="shared" si="67"/>
        <v>0</v>
      </c>
      <c r="G304" s="32">
        <f t="shared" si="68"/>
        <v>0</v>
      </c>
      <c r="H304" s="32">
        <f t="shared" si="69"/>
        <v>0</v>
      </c>
      <c r="I304" s="32">
        <f t="shared" si="70"/>
        <v>0</v>
      </c>
      <c r="J304" s="32">
        <f t="shared" si="71"/>
        <v>0</v>
      </c>
      <c r="K304" s="32">
        <f t="shared" si="72"/>
        <v>0</v>
      </c>
      <c r="L304" s="32">
        <f t="shared" si="73"/>
        <v>0</v>
      </c>
      <c r="M304" s="32">
        <f t="shared" ca="1" si="74"/>
        <v>7.4214468061546803E-3</v>
      </c>
      <c r="N304" s="32">
        <f t="shared" ca="1" si="75"/>
        <v>0</v>
      </c>
      <c r="O304" s="122">
        <f t="shared" ca="1" si="76"/>
        <v>0</v>
      </c>
      <c r="P304" s="32">
        <f t="shared" ca="1" si="77"/>
        <v>0</v>
      </c>
      <c r="Q304" s="32">
        <f t="shared" ca="1" si="78"/>
        <v>0</v>
      </c>
      <c r="R304" s="16">
        <f t="shared" ca="1" si="79"/>
        <v>-7.4214468061546803E-3</v>
      </c>
    </row>
    <row r="305" spans="1:18">
      <c r="A305" s="71"/>
      <c r="B305" s="71"/>
      <c r="C305" s="71"/>
      <c r="D305" s="72">
        <f t="shared" si="65"/>
        <v>0</v>
      </c>
      <c r="E305" s="72">
        <f t="shared" si="66"/>
        <v>0</v>
      </c>
      <c r="F305" s="32">
        <f t="shared" si="67"/>
        <v>0</v>
      </c>
      <c r="G305" s="32">
        <f t="shared" si="68"/>
        <v>0</v>
      </c>
      <c r="H305" s="32">
        <f t="shared" si="69"/>
        <v>0</v>
      </c>
      <c r="I305" s="32">
        <f t="shared" si="70"/>
        <v>0</v>
      </c>
      <c r="J305" s="32">
        <f t="shared" si="71"/>
        <v>0</v>
      </c>
      <c r="K305" s="32">
        <f t="shared" si="72"/>
        <v>0</v>
      </c>
      <c r="L305" s="32">
        <f t="shared" si="73"/>
        <v>0</v>
      </c>
      <c r="M305" s="32">
        <f t="shared" ca="1" si="74"/>
        <v>7.4214468061546803E-3</v>
      </c>
      <c r="N305" s="32">
        <f t="shared" ca="1" si="75"/>
        <v>0</v>
      </c>
      <c r="O305" s="122">
        <f t="shared" ca="1" si="76"/>
        <v>0</v>
      </c>
      <c r="P305" s="32">
        <f t="shared" ca="1" si="77"/>
        <v>0</v>
      </c>
      <c r="Q305" s="32">
        <f t="shared" ca="1" si="78"/>
        <v>0</v>
      </c>
      <c r="R305" s="16">
        <f t="shared" ca="1" si="79"/>
        <v>-7.4214468061546803E-3</v>
      </c>
    </row>
    <row r="306" spans="1:18">
      <c r="A306" s="71"/>
      <c r="B306" s="71"/>
      <c r="C306" s="71"/>
      <c r="D306" s="72">
        <f t="shared" si="65"/>
        <v>0</v>
      </c>
      <c r="E306" s="72">
        <f t="shared" si="66"/>
        <v>0</v>
      </c>
      <c r="F306" s="32">
        <f t="shared" si="67"/>
        <v>0</v>
      </c>
      <c r="G306" s="32">
        <f t="shared" si="68"/>
        <v>0</v>
      </c>
      <c r="H306" s="32">
        <f t="shared" si="69"/>
        <v>0</v>
      </c>
      <c r="I306" s="32">
        <f t="shared" si="70"/>
        <v>0</v>
      </c>
      <c r="J306" s="32">
        <f t="shared" si="71"/>
        <v>0</v>
      </c>
      <c r="K306" s="32">
        <f t="shared" si="72"/>
        <v>0</v>
      </c>
      <c r="L306" s="32">
        <f t="shared" si="73"/>
        <v>0</v>
      </c>
      <c r="M306" s="32">
        <f t="shared" ca="1" si="74"/>
        <v>7.4214468061546803E-3</v>
      </c>
      <c r="N306" s="32">
        <f t="shared" ca="1" si="75"/>
        <v>0</v>
      </c>
      <c r="O306" s="122">
        <f t="shared" ca="1" si="76"/>
        <v>0</v>
      </c>
      <c r="P306" s="32">
        <f t="shared" ca="1" si="77"/>
        <v>0</v>
      </c>
      <c r="Q306" s="32">
        <f t="shared" ca="1" si="78"/>
        <v>0</v>
      </c>
      <c r="R306" s="16">
        <f t="shared" ca="1" si="79"/>
        <v>-7.4214468061546803E-3</v>
      </c>
    </row>
    <row r="307" spans="1:18">
      <c r="A307" s="71"/>
      <c r="B307" s="71"/>
      <c r="C307" s="71"/>
      <c r="D307" s="72">
        <f t="shared" si="65"/>
        <v>0</v>
      </c>
      <c r="E307" s="72">
        <f t="shared" si="66"/>
        <v>0</v>
      </c>
      <c r="F307" s="32">
        <f t="shared" si="67"/>
        <v>0</v>
      </c>
      <c r="G307" s="32">
        <f t="shared" si="68"/>
        <v>0</v>
      </c>
      <c r="H307" s="32">
        <f t="shared" si="69"/>
        <v>0</v>
      </c>
      <c r="I307" s="32">
        <f t="shared" si="70"/>
        <v>0</v>
      </c>
      <c r="J307" s="32">
        <f t="shared" si="71"/>
        <v>0</v>
      </c>
      <c r="K307" s="32">
        <f t="shared" si="72"/>
        <v>0</v>
      </c>
      <c r="L307" s="32">
        <f t="shared" si="73"/>
        <v>0</v>
      </c>
      <c r="M307" s="32">
        <f t="shared" ca="1" si="74"/>
        <v>7.4214468061546803E-3</v>
      </c>
      <c r="N307" s="32">
        <f t="shared" ca="1" si="75"/>
        <v>0</v>
      </c>
      <c r="O307" s="122">
        <f t="shared" ca="1" si="76"/>
        <v>0</v>
      </c>
      <c r="P307" s="32">
        <f t="shared" ca="1" si="77"/>
        <v>0</v>
      </c>
      <c r="Q307" s="32">
        <f t="shared" ca="1" si="78"/>
        <v>0</v>
      </c>
      <c r="R307" s="16">
        <f t="shared" ca="1" si="79"/>
        <v>-7.4214468061546803E-3</v>
      </c>
    </row>
    <row r="308" spans="1:18">
      <c r="A308" s="71"/>
      <c r="B308" s="71"/>
      <c r="C308" s="71"/>
      <c r="D308" s="72">
        <f t="shared" si="65"/>
        <v>0</v>
      </c>
      <c r="E308" s="72">
        <f t="shared" si="66"/>
        <v>0</v>
      </c>
      <c r="F308" s="32">
        <f t="shared" si="67"/>
        <v>0</v>
      </c>
      <c r="G308" s="32">
        <f t="shared" si="68"/>
        <v>0</v>
      </c>
      <c r="H308" s="32">
        <f t="shared" si="69"/>
        <v>0</v>
      </c>
      <c r="I308" s="32">
        <f t="shared" si="70"/>
        <v>0</v>
      </c>
      <c r="J308" s="32">
        <f t="shared" si="71"/>
        <v>0</v>
      </c>
      <c r="K308" s="32">
        <f t="shared" si="72"/>
        <v>0</v>
      </c>
      <c r="L308" s="32">
        <f t="shared" si="73"/>
        <v>0</v>
      </c>
      <c r="M308" s="32">
        <f t="shared" ca="1" si="74"/>
        <v>7.4214468061546803E-3</v>
      </c>
      <c r="N308" s="32">
        <f t="shared" ca="1" si="75"/>
        <v>0</v>
      </c>
      <c r="O308" s="122">
        <f t="shared" ca="1" si="76"/>
        <v>0</v>
      </c>
      <c r="P308" s="32">
        <f t="shared" ca="1" si="77"/>
        <v>0</v>
      </c>
      <c r="Q308" s="32">
        <f t="shared" ca="1" si="78"/>
        <v>0</v>
      </c>
      <c r="R308" s="16">
        <f t="shared" ca="1" si="79"/>
        <v>-7.4214468061546803E-3</v>
      </c>
    </row>
    <row r="309" spans="1:18">
      <c r="A309" s="71"/>
      <c r="B309" s="71"/>
      <c r="C309" s="71"/>
      <c r="D309" s="72">
        <f t="shared" si="65"/>
        <v>0</v>
      </c>
      <c r="E309" s="72">
        <f t="shared" si="66"/>
        <v>0</v>
      </c>
      <c r="F309" s="32">
        <f t="shared" si="67"/>
        <v>0</v>
      </c>
      <c r="G309" s="32">
        <f t="shared" si="68"/>
        <v>0</v>
      </c>
      <c r="H309" s="32">
        <f t="shared" si="69"/>
        <v>0</v>
      </c>
      <c r="I309" s="32">
        <f t="shared" si="70"/>
        <v>0</v>
      </c>
      <c r="J309" s="32">
        <f t="shared" si="71"/>
        <v>0</v>
      </c>
      <c r="K309" s="32">
        <f t="shared" si="72"/>
        <v>0</v>
      </c>
      <c r="L309" s="32">
        <f t="shared" si="73"/>
        <v>0</v>
      </c>
      <c r="M309" s="32">
        <f t="shared" ca="1" si="74"/>
        <v>7.4214468061546803E-3</v>
      </c>
      <c r="N309" s="32">
        <f t="shared" ca="1" si="75"/>
        <v>0</v>
      </c>
      <c r="O309" s="122">
        <f t="shared" ca="1" si="76"/>
        <v>0</v>
      </c>
      <c r="P309" s="32">
        <f t="shared" ca="1" si="77"/>
        <v>0</v>
      </c>
      <c r="Q309" s="32">
        <f t="shared" ca="1" si="78"/>
        <v>0</v>
      </c>
      <c r="R309" s="16">
        <f t="shared" ca="1" si="79"/>
        <v>-7.4214468061546803E-3</v>
      </c>
    </row>
    <row r="310" spans="1:18">
      <c r="A310" s="71"/>
      <c r="B310" s="71"/>
      <c r="C310" s="71"/>
      <c r="D310" s="72">
        <f t="shared" si="65"/>
        <v>0</v>
      </c>
      <c r="E310" s="72">
        <f t="shared" si="66"/>
        <v>0</v>
      </c>
      <c r="F310" s="32">
        <f t="shared" si="67"/>
        <v>0</v>
      </c>
      <c r="G310" s="32">
        <f t="shared" si="68"/>
        <v>0</v>
      </c>
      <c r="H310" s="32">
        <f t="shared" si="69"/>
        <v>0</v>
      </c>
      <c r="I310" s="32">
        <f t="shared" si="70"/>
        <v>0</v>
      </c>
      <c r="J310" s="32">
        <f t="shared" si="71"/>
        <v>0</v>
      </c>
      <c r="K310" s="32">
        <f t="shared" si="72"/>
        <v>0</v>
      </c>
      <c r="L310" s="32">
        <f t="shared" si="73"/>
        <v>0</v>
      </c>
      <c r="M310" s="32">
        <f t="shared" ca="1" si="74"/>
        <v>7.4214468061546803E-3</v>
      </c>
      <c r="N310" s="32">
        <f t="shared" ca="1" si="75"/>
        <v>0</v>
      </c>
      <c r="O310" s="122">
        <f t="shared" ca="1" si="76"/>
        <v>0</v>
      </c>
      <c r="P310" s="32">
        <f t="shared" ca="1" si="77"/>
        <v>0</v>
      </c>
      <c r="Q310" s="32">
        <f t="shared" ca="1" si="78"/>
        <v>0</v>
      </c>
      <c r="R310" s="16">
        <f t="shared" ca="1" si="79"/>
        <v>-7.4214468061546803E-3</v>
      </c>
    </row>
    <row r="311" spans="1:18">
      <c r="A311" s="71"/>
      <c r="B311" s="71"/>
      <c r="C311" s="71"/>
      <c r="D311" s="72">
        <f t="shared" si="65"/>
        <v>0</v>
      </c>
      <c r="E311" s="72">
        <f t="shared" si="66"/>
        <v>0</v>
      </c>
      <c r="F311" s="32">
        <f t="shared" si="67"/>
        <v>0</v>
      </c>
      <c r="G311" s="32">
        <f t="shared" si="68"/>
        <v>0</v>
      </c>
      <c r="H311" s="32">
        <f t="shared" si="69"/>
        <v>0</v>
      </c>
      <c r="I311" s="32">
        <f t="shared" si="70"/>
        <v>0</v>
      </c>
      <c r="J311" s="32">
        <f t="shared" si="71"/>
        <v>0</v>
      </c>
      <c r="K311" s="32">
        <f t="shared" si="72"/>
        <v>0</v>
      </c>
      <c r="L311" s="32">
        <f t="shared" si="73"/>
        <v>0</v>
      </c>
      <c r="M311" s="32">
        <f t="shared" ca="1" si="74"/>
        <v>7.4214468061546803E-3</v>
      </c>
      <c r="N311" s="32">
        <f t="shared" ca="1" si="75"/>
        <v>0</v>
      </c>
      <c r="O311" s="122">
        <f t="shared" ca="1" si="76"/>
        <v>0</v>
      </c>
      <c r="P311" s="32">
        <f t="shared" ca="1" si="77"/>
        <v>0</v>
      </c>
      <c r="Q311" s="32">
        <f t="shared" ca="1" si="78"/>
        <v>0</v>
      </c>
      <c r="R311" s="16">
        <f t="shared" ca="1" si="79"/>
        <v>-7.4214468061546803E-3</v>
      </c>
    </row>
    <row r="312" spans="1:18">
      <c r="A312" s="71"/>
      <c r="B312" s="71"/>
      <c r="C312" s="71"/>
      <c r="D312" s="72">
        <f t="shared" si="65"/>
        <v>0</v>
      </c>
      <c r="E312" s="72">
        <f t="shared" si="66"/>
        <v>0</v>
      </c>
      <c r="F312" s="32">
        <f t="shared" si="67"/>
        <v>0</v>
      </c>
      <c r="G312" s="32">
        <f t="shared" si="68"/>
        <v>0</v>
      </c>
      <c r="H312" s="32">
        <f t="shared" si="69"/>
        <v>0</v>
      </c>
      <c r="I312" s="32">
        <f t="shared" si="70"/>
        <v>0</v>
      </c>
      <c r="J312" s="32">
        <f t="shared" si="71"/>
        <v>0</v>
      </c>
      <c r="K312" s="32">
        <f t="shared" si="72"/>
        <v>0</v>
      </c>
      <c r="L312" s="32">
        <f t="shared" si="73"/>
        <v>0</v>
      </c>
      <c r="M312" s="32">
        <f t="shared" ca="1" si="74"/>
        <v>7.4214468061546803E-3</v>
      </c>
      <c r="N312" s="32">
        <f t="shared" ca="1" si="75"/>
        <v>0</v>
      </c>
      <c r="O312" s="122">
        <f t="shared" ca="1" si="76"/>
        <v>0</v>
      </c>
      <c r="P312" s="32">
        <f t="shared" ca="1" si="77"/>
        <v>0</v>
      </c>
      <c r="Q312" s="32">
        <f t="shared" ca="1" si="78"/>
        <v>0</v>
      </c>
      <c r="R312" s="16">
        <f t="shared" ca="1" si="79"/>
        <v>-7.4214468061546803E-3</v>
      </c>
    </row>
    <row r="313" spans="1:18">
      <c r="A313" s="71"/>
      <c r="B313" s="71"/>
      <c r="C313" s="71"/>
      <c r="D313" s="72">
        <f t="shared" si="65"/>
        <v>0</v>
      </c>
      <c r="E313" s="72">
        <f t="shared" si="66"/>
        <v>0</v>
      </c>
      <c r="F313" s="32">
        <f t="shared" si="67"/>
        <v>0</v>
      </c>
      <c r="G313" s="32">
        <f t="shared" si="68"/>
        <v>0</v>
      </c>
      <c r="H313" s="32">
        <f t="shared" si="69"/>
        <v>0</v>
      </c>
      <c r="I313" s="32">
        <f t="shared" si="70"/>
        <v>0</v>
      </c>
      <c r="J313" s="32">
        <f t="shared" si="71"/>
        <v>0</v>
      </c>
      <c r="K313" s="32">
        <f t="shared" si="72"/>
        <v>0</v>
      </c>
      <c r="L313" s="32">
        <f t="shared" si="73"/>
        <v>0</v>
      </c>
      <c r="M313" s="32">
        <f t="shared" ca="1" si="74"/>
        <v>7.4214468061546803E-3</v>
      </c>
      <c r="N313" s="32">
        <f t="shared" ca="1" si="75"/>
        <v>0</v>
      </c>
      <c r="O313" s="122">
        <f t="shared" ca="1" si="76"/>
        <v>0</v>
      </c>
      <c r="P313" s="32">
        <f t="shared" ca="1" si="77"/>
        <v>0</v>
      </c>
      <c r="Q313" s="32">
        <f t="shared" ca="1" si="78"/>
        <v>0</v>
      </c>
      <c r="R313" s="16">
        <f t="shared" ca="1" si="79"/>
        <v>-7.4214468061546803E-3</v>
      </c>
    </row>
    <row r="314" spans="1:18">
      <c r="A314" s="71"/>
      <c r="B314" s="71"/>
      <c r="C314" s="71"/>
      <c r="D314" s="72">
        <f t="shared" si="65"/>
        <v>0</v>
      </c>
      <c r="E314" s="72">
        <f t="shared" si="66"/>
        <v>0</v>
      </c>
      <c r="F314" s="32">
        <f t="shared" si="67"/>
        <v>0</v>
      </c>
      <c r="G314" s="32">
        <f t="shared" si="68"/>
        <v>0</v>
      </c>
      <c r="H314" s="32">
        <f t="shared" si="69"/>
        <v>0</v>
      </c>
      <c r="I314" s="32">
        <f t="shared" si="70"/>
        <v>0</v>
      </c>
      <c r="J314" s="32">
        <f t="shared" si="71"/>
        <v>0</v>
      </c>
      <c r="K314" s="32">
        <f t="shared" si="72"/>
        <v>0</v>
      </c>
      <c r="L314" s="32">
        <f t="shared" si="73"/>
        <v>0</v>
      </c>
      <c r="M314" s="32">
        <f t="shared" ca="1" si="74"/>
        <v>7.4214468061546803E-3</v>
      </c>
      <c r="N314" s="32">
        <f t="shared" ca="1" si="75"/>
        <v>0</v>
      </c>
      <c r="O314" s="122">
        <f t="shared" ca="1" si="76"/>
        <v>0</v>
      </c>
      <c r="P314" s="32">
        <f t="shared" ca="1" si="77"/>
        <v>0</v>
      </c>
      <c r="Q314" s="32">
        <f t="shared" ca="1" si="78"/>
        <v>0</v>
      </c>
      <c r="R314" s="16">
        <f t="shared" ca="1" si="79"/>
        <v>-7.4214468061546803E-3</v>
      </c>
    </row>
    <row r="315" spans="1:18">
      <c r="A315" s="71"/>
      <c r="B315" s="71"/>
      <c r="C315" s="71"/>
      <c r="D315" s="72">
        <f t="shared" si="65"/>
        <v>0</v>
      </c>
      <c r="E315" s="72">
        <f t="shared" si="66"/>
        <v>0</v>
      </c>
      <c r="F315" s="32">
        <f t="shared" si="67"/>
        <v>0</v>
      </c>
      <c r="G315" s="32">
        <f t="shared" si="68"/>
        <v>0</v>
      </c>
      <c r="H315" s="32">
        <f t="shared" si="69"/>
        <v>0</v>
      </c>
      <c r="I315" s="32">
        <f t="shared" si="70"/>
        <v>0</v>
      </c>
      <c r="J315" s="32">
        <f t="shared" si="71"/>
        <v>0</v>
      </c>
      <c r="K315" s="32">
        <f t="shared" si="72"/>
        <v>0</v>
      </c>
      <c r="L315" s="32">
        <f t="shared" si="73"/>
        <v>0</v>
      </c>
      <c r="M315" s="32">
        <f t="shared" ca="1" si="74"/>
        <v>7.4214468061546803E-3</v>
      </c>
      <c r="N315" s="32">
        <f t="shared" ca="1" si="75"/>
        <v>0</v>
      </c>
      <c r="O315" s="122">
        <f t="shared" ca="1" si="76"/>
        <v>0</v>
      </c>
      <c r="P315" s="32">
        <f t="shared" ca="1" si="77"/>
        <v>0</v>
      </c>
      <c r="Q315" s="32">
        <f t="shared" ca="1" si="78"/>
        <v>0</v>
      </c>
      <c r="R315" s="16">
        <f t="shared" ca="1" si="79"/>
        <v>-7.4214468061546803E-3</v>
      </c>
    </row>
    <row r="316" spans="1:18">
      <c r="A316" s="71"/>
      <c r="B316" s="71"/>
      <c r="C316" s="71"/>
      <c r="D316" s="72">
        <f t="shared" si="65"/>
        <v>0</v>
      </c>
      <c r="E316" s="72">
        <f t="shared" si="66"/>
        <v>0</v>
      </c>
      <c r="F316" s="32">
        <f t="shared" si="67"/>
        <v>0</v>
      </c>
      <c r="G316" s="32">
        <f t="shared" si="68"/>
        <v>0</v>
      </c>
      <c r="H316" s="32">
        <f t="shared" si="69"/>
        <v>0</v>
      </c>
      <c r="I316" s="32">
        <f t="shared" si="70"/>
        <v>0</v>
      </c>
      <c r="J316" s="32">
        <f t="shared" si="71"/>
        <v>0</v>
      </c>
      <c r="K316" s="32">
        <f t="shared" si="72"/>
        <v>0</v>
      </c>
      <c r="L316" s="32">
        <f t="shared" si="73"/>
        <v>0</v>
      </c>
      <c r="M316" s="32">
        <f t="shared" ca="1" si="74"/>
        <v>7.4214468061546803E-3</v>
      </c>
      <c r="N316" s="32">
        <f t="shared" ca="1" si="75"/>
        <v>0</v>
      </c>
      <c r="O316" s="122">
        <f t="shared" ca="1" si="76"/>
        <v>0</v>
      </c>
      <c r="P316" s="32">
        <f t="shared" ca="1" si="77"/>
        <v>0</v>
      </c>
      <c r="Q316" s="32">
        <f t="shared" ca="1" si="78"/>
        <v>0</v>
      </c>
      <c r="R316" s="16">
        <f t="shared" ca="1" si="79"/>
        <v>-7.4214468061546803E-3</v>
      </c>
    </row>
    <row r="317" spans="1:18">
      <c r="A317" s="71"/>
      <c r="B317" s="71"/>
      <c r="C317" s="71"/>
      <c r="D317" s="72">
        <f t="shared" si="65"/>
        <v>0</v>
      </c>
      <c r="E317" s="72">
        <f t="shared" si="66"/>
        <v>0</v>
      </c>
      <c r="F317" s="32">
        <f t="shared" si="67"/>
        <v>0</v>
      </c>
      <c r="G317" s="32">
        <f t="shared" si="68"/>
        <v>0</v>
      </c>
      <c r="H317" s="32">
        <f t="shared" si="69"/>
        <v>0</v>
      </c>
      <c r="I317" s="32">
        <f t="shared" si="70"/>
        <v>0</v>
      </c>
      <c r="J317" s="32">
        <f t="shared" si="71"/>
        <v>0</v>
      </c>
      <c r="K317" s="32">
        <f t="shared" si="72"/>
        <v>0</v>
      </c>
      <c r="L317" s="32">
        <f t="shared" si="73"/>
        <v>0</v>
      </c>
      <c r="M317" s="32">
        <f t="shared" ca="1" si="74"/>
        <v>7.4214468061546803E-3</v>
      </c>
      <c r="N317" s="32">
        <f t="shared" ca="1" si="75"/>
        <v>0</v>
      </c>
      <c r="O317" s="122">
        <f t="shared" ca="1" si="76"/>
        <v>0</v>
      </c>
      <c r="P317" s="32">
        <f t="shared" ca="1" si="77"/>
        <v>0</v>
      </c>
      <c r="Q317" s="32">
        <f t="shared" ca="1" si="78"/>
        <v>0</v>
      </c>
      <c r="R317" s="16">
        <f t="shared" ca="1" si="79"/>
        <v>-7.4214468061546803E-3</v>
      </c>
    </row>
    <row r="318" spans="1:18">
      <c r="A318" s="71"/>
      <c r="B318" s="71"/>
      <c r="C318" s="71"/>
      <c r="D318" s="72">
        <f t="shared" si="65"/>
        <v>0</v>
      </c>
      <c r="E318" s="72">
        <f t="shared" si="66"/>
        <v>0</v>
      </c>
      <c r="F318" s="32">
        <f t="shared" si="67"/>
        <v>0</v>
      </c>
      <c r="G318" s="32">
        <f t="shared" si="68"/>
        <v>0</v>
      </c>
      <c r="H318" s="32">
        <f t="shared" si="69"/>
        <v>0</v>
      </c>
      <c r="I318" s="32">
        <f t="shared" si="70"/>
        <v>0</v>
      </c>
      <c r="J318" s="32">
        <f t="shared" si="71"/>
        <v>0</v>
      </c>
      <c r="K318" s="32">
        <f t="shared" si="72"/>
        <v>0</v>
      </c>
      <c r="L318" s="32">
        <f t="shared" si="73"/>
        <v>0</v>
      </c>
      <c r="M318" s="32">
        <f t="shared" ca="1" si="74"/>
        <v>7.4214468061546803E-3</v>
      </c>
      <c r="N318" s="32">
        <f t="shared" ca="1" si="75"/>
        <v>0</v>
      </c>
      <c r="O318" s="122">
        <f t="shared" ca="1" si="76"/>
        <v>0</v>
      </c>
      <c r="P318" s="32">
        <f t="shared" ca="1" si="77"/>
        <v>0</v>
      </c>
      <c r="Q318" s="32">
        <f t="shared" ca="1" si="78"/>
        <v>0</v>
      </c>
      <c r="R318" s="16">
        <f t="shared" ca="1" si="79"/>
        <v>-7.4214468061546803E-3</v>
      </c>
    </row>
    <row r="319" spans="1:18">
      <c r="A319" s="71"/>
      <c r="B319" s="71"/>
      <c r="C319" s="71"/>
      <c r="D319" s="72">
        <f t="shared" si="65"/>
        <v>0</v>
      </c>
      <c r="E319" s="72">
        <f t="shared" si="66"/>
        <v>0</v>
      </c>
      <c r="F319" s="32">
        <f t="shared" si="67"/>
        <v>0</v>
      </c>
      <c r="G319" s="32">
        <f t="shared" si="68"/>
        <v>0</v>
      </c>
      <c r="H319" s="32">
        <f t="shared" si="69"/>
        <v>0</v>
      </c>
      <c r="I319" s="32">
        <f t="shared" si="70"/>
        <v>0</v>
      </c>
      <c r="J319" s="32">
        <f t="shared" si="71"/>
        <v>0</v>
      </c>
      <c r="K319" s="32">
        <f t="shared" si="72"/>
        <v>0</v>
      </c>
      <c r="L319" s="32">
        <f t="shared" si="73"/>
        <v>0</v>
      </c>
      <c r="M319" s="32">
        <f t="shared" ca="1" si="74"/>
        <v>7.4214468061546803E-3</v>
      </c>
      <c r="N319" s="32">
        <f t="shared" ca="1" si="75"/>
        <v>0</v>
      </c>
      <c r="O319" s="122">
        <f t="shared" ca="1" si="76"/>
        <v>0</v>
      </c>
      <c r="P319" s="32">
        <f t="shared" ca="1" si="77"/>
        <v>0</v>
      </c>
      <c r="Q319" s="32">
        <f t="shared" ca="1" si="78"/>
        <v>0</v>
      </c>
      <c r="R319" s="16">
        <f t="shared" ca="1" si="79"/>
        <v>-7.4214468061546803E-3</v>
      </c>
    </row>
    <row r="320" spans="1:18">
      <c r="A320" s="71"/>
      <c r="B320" s="71"/>
      <c r="C320" s="71"/>
      <c r="D320" s="72">
        <f t="shared" si="65"/>
        <v>0</v>
      </c>
      <c r="E320" s="72">
        <f t="shared" si="66"/>
        <v>0</v>
      </c>
      <c r="F320" s="32">
        <f t="shared" si="67"/>
        <v>0</v>
      </c>
      <c r="G320" s="32">
        <f t="shared" si="68"/>
        <v>0</v>
      </c>
      <c r="H320" s="32">
        <f t="shared" si="69"/>
        <v>0</v>
      </c>
      <c r="I320" s="32">
        <f t="shared" si="70"/>
        <v>0</v>
      </c>
      <c r="J320" s="32">
        <f t="shared" si="71"/>
        <v>0</v>
      </c>
      <c r="K320" s="32">
        <f t="shared" si="72"/>
        <v>0</v>
      </c>
      <c r="L320" s="32">
        <f t="shared" si="73"/>
        <v>0</v>
      </c>
      <c r="M320" s="32">
        <f t="shared" ca="1" si="74"/>
        <v>7.4214468061546803E-3</v>
      </c>
      <c r="N320" s="32">
        <f t="shared" ca="1" si="75"/>
        <v>0</v>
      </c>
      <c r="O320" s="122">
        <f t="shared" ca="1" si="76"/>
        <v>0</v>
      </c>
      <c r="P320" s="32">
        <f t="shared" ca="1" si="77"/>
        <v>0</v>
      </c>
      <c r="Q320" s="32">
        <f t="shared" ca="1" si="78"/>
        <v>0</v>
      </c>
      <c r="R320" s="16">
        <f t="shared" ca="1" si="79"/>
        <v>-7.4214468061546803E-3</v>
      </c>
    </row>
    <row r="321" spans="1:18">
      <c r="A321" s="71"/>
      <c r="B321" s="71"/>
      <c r="C321" s="71"/>
      <c r="D321" s="72">
        <f t="shared" si="65"/>
        <v>0</v>
      </c>
      <c r="E321" s="72">
        <f t="shared" si="66"/>
        <v>0</v>
      </c>
      <c r="F321" s="32">
        <f t="shared" si="67"/>
        <v>0</v>
      </c>
      <c r="G321" s="32">
        <f t="shared" si="68"/>
        <v>0</v>
      </c>
      <c r="H321" s="32">
        <f t="shared" si="69"/>
        <v>0</v>
      </c>
      <c r="I321" s="32">
        <f t="shared" si="70"/>
        <v>0</v>
      </c>
      <c r="J321" s="32">
        <f t="shared" si="71"/>
        <v>0</v>
      </c>
      <c r="K321" s="32">
        <f t="shared" si="72"/>
        <v>0</v>
      </c>
      <c r="L321" s="32">
        <f t="shared" si="73"/>
        <v>0</v>
      </c>
      <c r="M321" s="32">
        <f t="shared" ca="1" si="74"/>
        <v>7.4214468061546803E-3</v>
      </c>
      <c r="N321" s="32">
        <f t="shared" ca="1" si="75"/>
        <v>0</v>
      </c>
      <c r="O321" s="122">
        <f t="shared" ca="1" si="76"/>
        <v>0</v>
      </c>
      <c r="P321" s="32">
        <f t="shared" ca="1" si="77"/>
        <v>0</v>
      </c>
      <c r="Q321" s="32">
        <f t="shared" ca="1" si="78"/>
        <v>0</v>
      </c>
      <c r="R321" s="16">
        <f t="shared" ca="1" si="79"/>
        <v>-7.4214468061546803E-3</v>
      </c>
    </row>
    <row r="322" spans="1:18">
      <c r="A322" s="71"/>
      <c r="B322" s="71"/>
      <c r="C322" s="71"/>
      <c r="D322" s="72">
        <f t="shared" si="65"/>
        <v>0</v>
      </c>
      <c r="E322" s="72">
        <f t="shared" si="66"/>
        <v>0</v>
      </c>
      <c r="F322" s="32">
        <f t="shared" si="67"/>
        <v>0</v>
      </c>
      <c r="G322" s="32">
        <f t="shared" si="68"/>
        <v>0</v>
      </c>
      <c r="H322" s="32">
        <f t="shared" si="69"/>
        <v>0</v>
      </c>
      <c r="I322" s="32">
        <f t="shared" si="70"/>
        <v>0</v>
      </c>
      <c r="J322" s="32">
        <f t="shared" si="71"/>
        <v>0</v>
      </c>
      <c r="K322" s="32">
        <f t="shared" si="72"/>
        <v>0</v>
      </c>
      <c r="L322" s="32">
        <f t="shared" si="73"/>
        <v>0</v>
      </c>
      <c r="M322" s="32">
        <f t="shared" ca="1" si="74"/>
        <v>7.4214468061546803E-3</v>
      </c>
      <c r="N322" s="32">
        <f t="shared" ca="1" si="75"/>
        <v>0</v>
      </c>
      <c r="O322" s="122">
        <f t="shared" ca="1" si="76"/>
        <v>0</v>
      </c>
      <c r="P322" s="32">
        <f t="shared" ca="1" si="77"/>
        <v>0</v>
      </c>
      <c r="Q322" s="32">
        <f t="shared" ca="1" si="78"/>
        <v>0</v>
      </c>
      <c r="R322" s="16">
        <f t="shared" ca="1" si="79"/>
        <v>-7.4214468061546803E-3</v>
      </c>
    </row>
    <row r="323" spans="1:18">
      <c r="A323" s="71"/>
      <c r="B323" s="71"/>
      <c r="C323" s="71"/>
      <c r="D323" s="72">
        <f t="shared" si="65"/>
        <v>0</v>
      </c>
      <c r="E323" s="72">
        <f t="shared" si="66"/>
        <v>0</v>
      </c>
      <c r="F323" s="32">
        <f t="shared" si="67"/>
        <v>0</v>
      </c>
      <c r="G323" s="32">
        <f t="shared" si="68"/>
        <v>0</v>
      </c>
      <c r="H323" s="32">
        <f t="shared" si="69"/>
        <v>0</v>
      </c>
      <c r="I323" s="32">
        <f t="shared" si="70"/>
        <v>0</v>
      </c>
      <c r="J323" s="32">
        <f t="shared" si="71"/>
        <v>0</v>
      </c>
      <c r="K323" s="32">
        <f t="shared" si="72"/>
        <v>0</v>
      </c>
      <c r="L323" s="32">
        <f t="shared" si="73"/>
        <v>0</v>
      </c>
      <c r="M323" s="32">
        <f t="shared" ca="1" si="74"/>
        <v>7.4214468061546803E-3</v>
      </c>
      <c r="N323" s="32">
        <f t="shared" ca="1" si="75"/>
        <v>0</v>
      </c>
      <c r="O323" s="122">
        <f t="shared" ca="1" si="76"/>
        <v>0</v>
      </c>
      <c r="P323" s="32">
        <f t="shared" ca="1" si="77"/>
        <v>0</v>
      </c>
      <c r="Q323" s="32">
        <f t="shared" ca="1" si="78"/>
        <v>0</v>
      </c>
      <c r="R323" s="16">
        <f t="shared" ca="1" si="79"/>
        <v>-7.4214468061546803E-3</v>
      </c>
    </row>
    <row r="324" spans="1:18">
      <c r="A324" s="71"/>
      <c r="B324" s="71"/>
      <c r="C324" s="71"/>
      <c r="D324" s="72">
        <f t="shared" si="65"/>
        <v>0</v>
      </c>
      <c r="E324" s="72">
        <f t="shared" si="66"/>
        <v>0</v>
      </c>
      <c r="F324" s="32">
        <f t="shared" si="67"/>
        <v>0</v>
      </c>
      <c r="G324" s="32">
        <f t="shared" si="68"/>
        <v>0</v>
      </c>
      <c r="H324" s="32">
        <f t="shared" si="69"/>
        <v>0</v>
      </c>
      <c r="I324" s="32">
        <f t="shared" si="70"/>
        <v>0</v>
      </c>
      <c r="J324" s="32">
        <f t="shared" si="71"/>
        <v>0</v>
      </c>
      <c r="K324" s="32">
        <f t="shared" si="72"/>
        <v>0</v>
      </c>
      <c r="L324" s="32">
        <f t="shared" si="73"/>
        <v>0</v>
      </c>
      <c r="M324" s="32">
        <f t="shared" ca="1" si="74"/>
        <v>7.4214468061546803E-3</v>
      </c>
      <c r="N324" s="32">
        <f t="shared" ca="1" si="75"/>
        <v>0</v>
      </c>
      <c r="O324" s="122">
        <f t="shared" ca="1" si="76"/>
        <v>0</v>
      </c>
      <c r="P324" s="32">
        <f t="shared" ca="1" si="77"/>
        <v>0</v>
      </c>
      <c r="Q324" s="32">
        <f t="shared" ca="1" si="78"/>
        <v>0</v>
      </c>
      <c r="R324" s="16">
        <f t="shared" ca="1" si="79"/>
        <v>-7.4214468061546803E-3</v>
      </c>
    </row>
    <row r="325" spans="1:18">
      <c r="A325" s="71"/>
      <c r="B325" s="71"/>
      <c r="C325" s="71"/>
      <c r="D325" s="72">
        <f t="shared" si="65"/>
        <v>0</v>
      </c>
      <c r="E325" s="72">
        <f t="shared" si="66"/>
        <v>0</v>
      </c>
      <c r="F325" s="32">
        <f t="shared" si="67"/>
        <v>0</v>
      </c>
      <c r="G325" s="32">
        <f t="shared" si="68"/>
        <v>0</v>
      </c>
      <c r="H325" s="32">
        <f t="shared" si="69"/>
        <v>0</v>
      </c>
      <c r="I325" s="32">
        <f t="shared" si="70"/>
        <v>0</v>
      </c>
      <c r="J325" s="32">
        <f t="shared" si="71"/>
        <v>0</v>
      </c>
      <c r="K325" s="32">
        <f t="shared" si="72"/>
        <v>0</v>
      </c>
      <c r="L325" s="32">
        <f t="shared" si="73"/>
        <v>0</v>
      </c>
      <c r="M325" s="32">
        <f t="shared" ca="1" si="74"/>
        <v>7.4214468061546803E-3</v>
      </c>
      <c r="N325" s="32">
        <f t="shared" ca="1" si="75"/>
        <v>0</v>
      </c>
      <c r="O325" s="122">
        <f t="shared" ca="1" si="76"/>
        <v>0</v>
      </c>
      <c r="P325" s="32">
        <f t="shared" ca="1" si="77"/>
        <v>0</v>
      </c>
      <c r="Q325" s="32">
        <f t="shared" ca="1" si="78"/>
        <v>0</v>
      </c>
      <c r="R325" s="16">
        <f t="shared" ca="1" si="79"/>
        <v>-7.4214468061546803E-3</v>
      </c>
    </row>
    <row r="326" spans="1:18">
      <c r="A326" s="71"/>
      <c r="B326" s="71"/>
      <c r="C326" s="71"/>
      <c r="D326" s="72">
        <f t="shared" si="65"/>
        <v>0</v>
      </c>
      <c r="E326" s="72">
        <f t="shared" si="66"/>
        <v>0</v>
      </c>
      <c r="F326" s="32">
        <f t="shared" si="67"/>
        <v>0</v>
      </c>
      <c r="G326" s="32">
        <f t="shared" si="68"/>
        <v>0</v>
      </c>
      <c r="H326" s="32">
        <f t="shared" si="69"/>
        <v>0</v>
      </c>
      <c r="I326" s="32">
        <f t="shared" si="70"/>
        <v>0</v>
      </c>
      <c r="J326" s="32">
        <f t="shared" si="71"/>
        <v>0</v>
      </c>
      <c r="K326" s="32">
        <f t="shared" si="72"/>
        <v>0</v>
      </c>
      <c r="L326" s="32">
        <f t="shared" si="73"/>
        <v>0</v>
      </c>
      <c r="M326" s="32">
        <f t="shared" ca="1" si="74"/>
        <v>7.4214468061546803E-3</v>
      </c>
      <c r="N326" s="32">
        <f t="shared" ca="1" si="75"/>
        <v>0</v>
      </c>
      <c r="O326" s="122">
        <f t="shared" ca="1" si="76"/>
        <v>0</v>
      </c>
      <c r="P326" s="32">
        <f t="shared" ca="1" si="77"/>
        <v>0</v>
      </c>
      <c r="Q326" s="32">
        <f t="shared" ca="1" si="78"/>
        <v>0</v>
      </c>
      <c r="R326" s="16">
        <f t="shared" ca="1" si="79"/>
        <v>-7.4214468061546803E-3</v>
      </c>
    </row>
    <row r="327" spans="1:18">
      <c r="A327" s="71"/>
      <c r="B327" s="71"/>
      <c r="C327" s="71"/>
      <c r="D327" s="72">
        <f t="shared" si="65"/>
        <v>0</v>
      </c>
      <c r="E327" s="72">
        <f t="shared" si="66"/>
        <v>0</v>
      </c>
      <c r="F327" s="32">
        <f t="shared" si="67"/>
        <v>0</v>
      </c>
      <c r="G327" s="32">
        <f t="shared" si="68"/>
        <v>0</v>
      </c>
      <c r="H327" s="32">
        <f t="shared" si="69"/>
        <v>0</v>
      </c>
      <c r="I327" s="32">
        <f t="shared" si="70"/>
        <v>0</v>
      </c>
      <c r="J327" s="32">
        <f t="shared" si="71"/>
        <v>0</v>
      </c>
      <c r="K327" s="32">
        <f t="shared" si="72"/>
        <v>0</v>
      </c>
      <c r="L327" s="32">
        <f t="shared" si="73"/>
        <v>0</v>
      </c>
      <c r="M327" s="32">
        <f t="shared" ca="1" si="74"/>
        <v>7.4214468061546803E-3</v>
      </c>
      <c r="N327" s="32">
        <f t="shared" ca="1" si="75"/>
        <v>0</v>
      </c>
      <c r="O327" s="122">
        <f t="shared" ca="1" si="76"/>
        <v>0</v>
      </c>
      <c r="P327" s="32">
        <f t="shared" ca="1" si="77"/>
        <v>0</v>
      </c>
      <c r="Q327" s="32">
        <f t="shared" ca="1" si="78"/>
        <v>0</v>
      </c>
      <c r="R327" s="16">
        <f t="shared" ca="1" si="79"/>
        <v>-7.4214468061546803E-3</v>
      </c>
    </row>
    <row r="328" spans="1:18">
      <c r="A328" s="71"/>
      <c r="B328" s="71"/>
      <c r="C328" s="71"/>
      <c r="D328" s="72">
        <f t="shared" si="65"/>
        <v>0</v>
      </c>
      <c r="E328" s="72">
        <f t="shared" si="66"/>
        <v>0</v>
      </c>
      <c r="F328" s="32">
        <f t="shared" si="67"/>
        <v>0</v>
      </c>
      <c r="G328" s="32">
        <f t="shared" si="68"/>
        <v>0</v>
      </c>
      <c r="H328" s="32">
        <f t="shared" si="69"/>
        <v>0</v>
      </c>
      <c r="I328" s="32">
        <f t="shared" si="70"/>
        <v>0</v>
      </c>
      <c r="J328" s="32">
        <f t="shared" si="71"/>
        <v>0</v>
      </c>
      <c r="K328" s="32">
        <f t="shared" si="72"/>
        <v>0</v>
      </c>
      <c r="L328" s="32">
        <f t="shared" si="73"/>
        <v>0</v>
      </c>
      <c r="M328" s="32">
        <f t="shared" ca="1" si="74"/>
        <v>7.4214468061546803E-3</v>
      </c>
      <c r="N328" s="32">
        <f t="shared" ca="1" si="75"/>
        <v>0</v>
      </c>
      <c r="O328" s="122">
        <f t="shared" ca="1" si="76"/>
        <v>0</v>
      </c>
      <c r="P328" s="32">
        <f t="shared" ca="1" si="77"/>
        <v>0</v>
      </c>
      <c r="Q328" s="32">
        <f t="shared" ca="1" si="78"/>
        <v>0</v>
      </c>
      <c r="R328" s="16">
        <f t="shared" ca="1" si="79"/>
        <v>-7.4214468061546803E-3</v>
      </c>
    </row>
    <row r="329" spans="1:18">
      <c r="A329" s="71"/>
      <c r="B329" s="71"/>
      <c r="C329" s="71"/>
      <c r="D329" s="72">
        <f t="shared" si="65"/>
        <v>0</v>
      </c>
      <c r="E329" s="72">
        <f t="shared" si="66"/>
        <v>0</v>
      </c>
      <c r="F329" s="32">
        <f t="shared" si="67"/>
        <v>0</v>
      </c>
      <c r="G329" s="32">
        <f t="shared" si="68"/>
        <v>0</v>
      </c>
      <c r="H329" s="32">
        <f t="shared" si="69"/>
        <v>0</v>
      </c>
      <c r="I329" s="32">
        <f t="shared" si="70"/>
        <v>0</v>
      </c>
      <c r="J329" s="32">
        <f t="shared" si="71"/>
        <v>0</v>
      </c>
      <c r="K329" s="32">
        <f t="shared" si="72"/>
        <v>0</v>
      </c>
      <c r="L329" s="32">
        <f t="shared" si="73"/>
        <v>0</v>
      </c>
      <c r="M329" s="32">
        <f t="shared" ca="1" si="74"/>
        <v>7.4214468061546803E-3</v>
      </c>
      <c r="N329" s="32">
        <f t="shared" ca="1" si="75"/>
        <v>0</v>
      </c>
      <c r="O329" s="122">
        <f t="shared" ca="1" si="76"/>
        <v>0</v>
      </c>
      <c r="P329" s="32">
        <f t="shared" ca="1" si="77"/>
        <v>0</v>
      </c>
      <c r="Q329" s="32">
        <f t="shared" ca="1" si="78"/>
        <v>0</v>
      </c>
      <c r="R329" s="16">
        <f t="shared" ca="1" si="79"/>
        <v>-7.4214468061546803E-3</v>
      </c>
    </row>
    <row r="330" spans="1:18">
      <c r="A330" s="71"/>
      <c r="B330" s="71"/>
      <c r="C330" s="71"/>
      <c r="D330" s="72">
        <f t="shared" si="65"/>
        <v>0</v>
      </c>
      <c r="E330" s="72">
        <f t="shared" si="66"/>
        <v>0</v>
      </c>
      <c r="F330" s="32">
        <f t="shared" si="67"/>
        <v>0</v>
      </c>
      <c r="G330" s="32">
        <f t="shared" si="68"/>
        <v>0</v>
      </c>
      <c r="H330" s="32">
        <f t="shared" si="69"/>
        <v>0</v>
      </c>
      <c r="I330" s="32">
        <f t="shared" si="70"/>
        <v>0</v>
      </c>
      <c r="J330" s="32">
        <f t="shared" si="71"/>
        <v>0</v>
      </c>
      <c r="K330" s="32">
        <f t="shared" si="72"/>
        <v>0</v>
      </c>
      <c r="L330" s="32">
        <f t="shared" si="73"/>
        <v>0</v>
      </c>
      <c r="M330" s="32">
        <f t="shared" ca="1" si="74"/>
        <v>7.4214468061546803E-3</v>
      </c>
      <c r="N330" s="32">
        <f t="shared" ca="1" si="75"/>
        <v>0</v>
      </c>
      <c r="O330" s="122">
        <f t="shared" ca="1" si="76"/>
        <v>0</v>
      </c>
      <c r="P330" s="32">
        <f t="shared" ca="1" si="77"/>
        <v>0</v>
      </c>
      <c r="Q330" s="32">
        <f t="shared" ca="1" si="78"/>
        <v>0</v>
      </c>
      <c r="R330" s="16">
        <f t="shared" ca="1" si="79"/>
        <v>-7.4214468061546803E-3</v>
      </c>
    </row>
    <row r="331" spans="1:18">
      <c r="A331" s="71"/>
      <c r="B331" s="71"/>
      <c r="C331" s="71"/>
      <c r="D331" s="72">
        <f t="shared" si="65"/>
        <v>0</v>
      </c>
      <c r="E331" s="72">
        <f t="shared" si="66"/>
        <v>0</v>
      </c>
      <c r="F331" s="32">
        <f t="shared" si="67"/>
        <v>0</v>
      </c>
      <c r="G331" s="32">
        <f t="shared" si="68"/>
        <v>0</v>
      </c>
      <c r="H331" s="32">
        <f t="shared" si="69"/>
        <v>0</v>
      </c>
      <c r="I331" s="32">
        <f t="shared" si="70"/>
        <v>0</v>
      </c>
      <c r="J331" s="32">
        <f t="shared" si="71"/>
        <v>0</v>
      </c>
      <c r="K331" s="32">
        <f t="shared" si="72"/>
        <v>0</v>
      </c>
      <c r="L331" s="32">
        <f t="shared" si="73"/>
        <v>0</v>
      </c>
      <c r="M331" s="32">
        <f t="shared" ca="1" si="74"/>
        <v>7.4214468061546803E-3</v>
      </c>
      <c r="N331" s="32">
        <f t="shared" ca="1" si="75"/>
        <v>0</v>
      </c>
      <c r="O331" s="122">
        <f t="shared" ca="1" si="76"/>
        <v>0</v>
      </c>
      <c r="P331" s="32">
        <f t="shared" ca="1" si="77"/>
        <v>0</v>
      </c>
      <c r="Q331" s="32">
        <f t="shared" ca="1" si="78"/>
        <v>0</v>
      </c>
      <c r="R331" s="16">
        <f t="shared" ca="1" si="79"/>
        <v>-7.4214468061546803E-3</v>
      </c>
    </row>
    <row r="332" spans="1:18">
      <c r="A332" s="71"/>
      <c r="B332" s="71"/>
      <c r="C332" s="71"/>
      <c r="D332" s="72">
        <f t="shared" si="65"/>
        <v>0</v>
      </c>
      <c r="E332" s="72">
        <f t="shared" si="66"/>
        <v>0</v>
      </c>
      <c r="F332" s="32">
        <f t="shared" si="67"/>
        <v>0</v>
      </c>
      <c r="G332" s="32">
        <f t="shared" si="68"/>
        <v>0</v>
      </c>
      <c r="H332" s="32">
        <f t="shared" si="69"/>
        <v>0</v>
      </c>
      <c r="I332" s="32">
        <f t="shared" si="70"/>
        <v>0</v>
      </c>
      <c r="J332" s="32">
        <f t="shared" si="71"/>
        <v>0</v>
      </c>
      <c r="K332" s="32">
        <f t="shared" si="72"/>
        <v>0</v>
      </c>
      <c r="L332" s="32">
        <f t="shared" si="73"/>
        <v>0</v>
      </c>
      <c r="M332" s="32">
        <f t="shared" ca="1" si="74"/>
        <v>7.4214468061546803E-3</v>
      </c>
      <c r="N332" s="32">
        <f t="shared" ca="1" si="75"/>
        <v>0</v>
      </c>
      <c r="O332" s="122">
        <f t="shared" ca="1" si="76"/>
        <v>0</v>
      </c>
      <c r="P332" s="32">
        <f t="shared" ca="1" si="77"/>
        <v>0</v>
      </c>
      <c r="Q332" s="32">
        <f t="shared" ca="1" si="78"/>
        <v>0</v>
      </c>
      <c r="R332" s="16">
        <f t="shared" ca="1" si="79"/>
        <v>-7.4214468061546803E-3</v>
      </c>
    </row>
    <row r="333" spans="1:18">
      <c r="A333" s="71"/>
      <c r="B333" s="71"/>
      <c r="C333" s="71"/>
      <c r="D333" s="72">
        <f t="shared" si="65"/>
        <v>0</v>
      </c>
      <c r="E333" s="72">
        <f t="shared" si="66"/>
        <v>0</v>
      </c>
      <c r="F333" s="32">
        <f t="shared" si="67"/>
        <v>0</v>
      </c>
      <c r="G333" s="32">
        <f t="shared" si="68"/>
        <v>0</v>
      </c>
      <c r="H333" s="32">
        <f t="shared" si="69"/>
        <v>0</v>
      </c>
      <c r="I333" s="32">
        <f t="shared" si="70"/>
        <v>0</v>
      </c>
      <c r="J333" s="32">
        <f t="shared" si="71"/>
        <v>0</v>
      </c>
      <c r="K333" s="32">
        <f t="shared" si="72"/>
        <v>0</v>
      </c>
      <c r="L333" s="32">
        <f t="shared" si="73"/>
        <v>0</v>
      </c>
      <c r="M333" s="32">
        <f t="shared" ca="1" si="74"/>
        <v>7.4214468061546803E-3</v>
      </c>
      <c r="N333" s="32">
        <f t="shared" ca="1" si="75"/>
        <v>0</v>
      </c>
      <c r="O333" s="122">
        <f t="shared" ca="1" si="76"/>
        <v>0</v>
      </c>
      <c r="P333" s="32">
        <f t="shared" ca="1" si="77"/>
        <v>0</v>
      </c>
      <c r="Q333" s="32">
        <f t="shared" ca="1" si="78"/>
        <v>0</v>
      </c>
      <c r="R333" s="16">
        <f t="shared" ca="1" si="79"/>
        <v>-7.4214468061546803E-3</v>
      </c>
    </row>
    <row r="334" spans="1:18">
      <c r="A334" s="71"/>
      <c r="B334" s="71"/>
      <c r="C334" s="71"/>
      <c r="D334" s="72">
        <f t="shared" si="65"/>
        <v>0</v>
      </c>
      <c r="E334" s="72">
        <f t="shared" si="66"/>
        <v>0</v>
      </c>
      <c r="F334" s="32">
        <f t="shared" si="67"/>
        <v>0</v>
      </c>
      <c r="G334" s="32">
        <f t="shared" si="68"/>
        <v>0</v>
      </c>
      <c r="H334" s="32">
        <f t="shared" si="69"/>
        <v>0</v>
      </c>
      <c r="I334" s="32">
        <f t="shared" si="70"/>
        <v>0</v>
      </c>
      <c r="J334" s="32">
        <f t="shared" si="71"/>
        <v>0</v>
      </c>
      <c r="K334" s="32">
        <f t="shared" si="72"/>
        <v>0</v>
      </c>
      <c r="L334" s="32">
        <f t="shared" si="73"/>
        <v>0</v>
      </c>
      <c r="M334" s="32">
        <f t="shared" ca="1" si="74"/>
        <v>7.4214468061546803E-3</v>
      </c>
      <c r="N334" s="32">
        <f t="shared" ca="1" si="75"/>
        <v>0</v>
      </c>
      <c r="O334" s="122">
        <f t="shared" ca="1" si="76"/>
        <v>0</v>
      </c>
      <c r="P334" s="32">
        <f t="shared" ca="1" si="77"/>
        <v>0</v>
      </c>
      <c r="Q334" s="32">
        <f t="shared" ca="1" si="78"/>
        <v>0</v>
      </c>
      <c r="R334" s="16">
        <f t="shared" ca="1" si="79"/>
        <v>-7.4214468061546803E-3</v>
      </c>
    </row>
    <row r="335" spans="1:18">
      <c r="A335" s="71"/>
      <c r="B335" s="71"/>
      <c r="C335" s="71"/>
      <c r="D335" s="72">
        <f t="shared" si="65"/>
        <v>0</v>
      </c>
      <c r="E335" s="72">
        <f t="shared" si="66"/>
        <v>0</v>
      </c>
      <c r="F335" s="32">
        <f t="shared" si="67"/>
        <v>0</v>
      </c>
      <c r="G335" s="32">
        <f t="shared" si="68"/>
        <v>0</v>
      </c>
      <c r="H335" s="32">
        <f t="shared" si="69"/>
        <v>0</v>
      </c>
      <c r="I335" s="32">
        <f t="shared" si="70"/>
        <v>0</v>
      </c>
      <c r="J335" s="32">
        <f t="shared" si="71"/>
        <v>0</v>
      </c>
      <c r="K335" s="32">
        <f t="shared" si="72"/>
        <v>0</v>
      </c>
      <c r="L335" s="32">
        <f t="shared" si="73"/>
        <v>0</v>
      </c>
      <c r="M335" s="32">
        <f t="shared" ca="1" si="74"/>
        <v>7.4214468061546803E-3</v>
      </c>
      <c r="N335" s="32">
        <f t="shared" ca="1" si="75"/>
        <v>0</v>
      </c>
      <c r="O335" s="122">
        <f t="shared" ca="1" si="76"/>
        <v>0</v>
      </c>
      <c r="P335" s="32">
        <f t="shared" ca="1" si="77"/>
        <v>0</v>
      </c>
      <c r="Q335" s="32">
        <f t="shared" ca="1" si="78"/>
        <v>0</v>
      </c>
      <c r="R335" s="16">
        <f t="shared" ca="1" si="79"/>
        <v>-7.4214468061546803E-3</v>
      </c>
    </row>
    <row r="336" spans="1:18">
      <c r="A336" s="71"/>
      <c r="B336" s="71"/>
      <c r="C336" s="71"/>
      <c r="D336" s="72">
        <f t="shared" si="65"/>
        <v>0</v>
      </c>
      <c r="E336" s="72">
        <f t="shared" si="66"/>
        <v>0</v>
      </c>
      <c r="F336" s="32">
        <f t="shared" si="67"/>
        <v>0</v>
      </c>
      <c r="G336" s="32">
        <f t="shared" si="68"/>
        <v>0</v>
      </c>
      <c r="H336" s="32">
        <f t="shared" si="69"/>
        <v>0</v>
      </c>
      <c r="I336" s="32">
        <f t="shared" si="70"/>
        <v>0</v>
      </c>
      <c r="J336" s="32">
        <f t="shared" si="71"/>
        <v>0</v>
      </c>
      <c r="K336" s="32">
        <f t="shared" si="72"/>
        <v>0</v>
      </c>
      <c r="L336" s="32">
        <f t="shared" si="73"/>
        <v>0</v>
      </c>
      <c r="M336" s="32">
        <f t="shared" ca="1" si="74"/>
        <v>7.4214468061546803E-3</v>
      </c>
      <c r="N336" s="32">
        <f t="shared" ca="1" si="75"/>
        <v>0</v>
      </c>
      <c r="O336" s="122">
        <f t="shared" ca="1" si="76"/>
        <v>0</v>
      </c>
      <c r="P336" s="32">
        <f t="shared" ca="1" si="77"/>
        <v>0</v>
      </c>
      <c r="Q336" s="32">
        <f t="shared" ca="1" si="78"/>
        <v>0</v>
      </c>
      <c r="R336" s="16">
        <f t="shared" ca="1" si="79"/>
        <v>-7.4214468061546803E-3</v>
      </c>
    </row>
    <row r="337" spans="1:18">
      <c r="A337" s="71"/>
      <c r="B337" s="71"/>
      <c r="C337" s="71"/>
      <c r="D337" s="72">
        <f t="shared" si="65"/>
        <v>0</v>
      </c>
      <c r="E337" s="72">
        <f t="shared" si="66"/>
        <v>0</v>
      </c>
      <c r="F337" s="32">
        <f t="shared" si="67"/>
        <v>0</v>
      </c>
      <c r="G337" s="32">
        <f t="shared" si="68"/>
        <v>0</v>
      </c>
      <c r="H337" s="32">
        <f t="shared" si="69"/>
        <v>0</v>
      </c>
      <c r="I337" s="32">
        <f t="shared" si="70"/>
        <v>0</v>
      </c>
      <c r="J337" s="32">
        <f t="shared" si="71"/>
        <v>0</v>
      </c>
      <c r="K337" s="32">
        <f t="shared" si="72"/>
        <v>0</v>
      </c>
      <c r="L337" s="32">
        <f t="shared" si="73"/>
        <v>0</v>
      </c>
      <c r="M337" s="32">
        <f t="shared" ca="1" si="74"/>
        <v>7.4214468061546803E-3</v>
      </c>
      <c r="N337" s="32">
        <f t="shared" ca="1" si="75"/>
        <v>0</v>
      </c>
      <c r="O337" s="122">
        <f t="shared" ca="1" si="76"/>
        <v>0</v>
      </c>
      <c r="P337" s="32">
        <f t="shared" ca="1" si="77"/>
        <v>0</v>
      </c>
      <c r="Q337" s="32">
        <f t="shared" ca="1" si="78"/>
        <v>0</v>
      </c>
      <c r="R337" s="16">
        <f t="shared" ca="1" si="79"/>
        <v>-7.4214468061546803E-3</v>
      </c>
    </row>
    <row r="338" spans="1:18">
      <c r="A338" s="71"/>
      <c r="B338" s="71"/>
      <c r="C338" s="71"/>
      <c r="D338" s="72">
        <f t="shared" si="65"/>
        <v>0</v>
      </c>
      <c r="E338" s="72">
        <f t="shared" si="66"/>
        <v>0</v>
      </c>
      <c r="F338" s="32">
        <f t="shared" si="67"/>
        <v>0</v>
      </c>
      <c r="G338" s="32">
        <f t="shared" si="68"/>
        <v>0</v>
      </c>
      <c r="H338" s="32">
        <f t="shared" si="69"/>
        <v>0</v>
      </c>
      <c r="I338" s="32">
        <f t="shared" si="70"/>
        <v>0</v>
      </c>
      <c r="J338" s="32">
        <f t="shared" si="71"/>
        <v>0</v>
      </c>
      <c r="K338" s="32">
        <f t="shared" si="72"/>
        <v>0</v>
      </c>
      <c r="L338" s="32">
        <f t="shared" si="73"/>
        <v>0</v>
      </c>
      <c r="M338" s="32">
        <f t="shared" ca="1" si="74"/>
        <v>7.4214468061546803E-3</v>
      </c>
      <c r="N338" s="32">
        <f t="shared" ca="1" si="75"/>
        <v>0</v>
      </c>
      <c r="O338" s="122">
        <f t="shared" ca="1" si="76"/>
        <v>0</v>
      </c>
      <c r="P338" s="32">
        <f t="shared" ca="1" si="77"/>
        <v>0</v>
      </c>
      <c r="Q338" s="32">
        <f t="shared" ca="1" si="78"/>
        <v>0</v>
      </c>
      <c r="R338" s="16">
        <f t="shared" ca="1" si="79"/>
        <v>-7.4214468061546803E-3</v>
      </c>
    </row>
    <row r="339" spans="1:18">
      <c r="A339" s="71"/>
      <c r="B339" s="71"/>
      <c r="C339" s="71"/>
      <c r="D339" s="72">
        <f t="shared" si="65"/>
        <v>0</v>
      </c>
      <c r="E339" s="72">
        <f t="shared" si="66"/>
        <v>0</v>
      </c>
      <c r="F339" s="32">
        <f t="shared" si="67"/>
        <v>0</v>
      </c>
      <c r="G339" s="32">
        <f t="shared" si="68"/>
        <v>0</v>
      </c>
      <c r="H339" s="32">
        <f t="shared" si="69"/>
        <v>0</v>
      </c>
      <c r="I339" s="32">
        <f t="shared" si="70"/>
        <v>0</v>
      </c>
      <c r="J339" s="32">
        <f t="shared" si="71"/>
        <v>0</v>
      </c>
      <c r="K339" s="32">
        <f t="shared" si="72"/>
        <v>0</v>
      </c>
      <c r="L339" s="32">
        <f t="shared" si="73"/>
        <v>0</v>
      </c>
      <c r="M339" s="32">
        <f t="shared" ca="1" si="74"/>
        <v>7.4214468061546803E-3</v>
      </c>
      <c r="N339" s="32">
        <f t="shared" ca="1" si="75"/>
        <v>0</v>
      </c>
      <c r="O339" s="122">
        <f t="shared" ca="1" si="76"/>
        <v>0</v>
      </c>
      <c r="P339" s="32">
        <f t="shared" ca="1" si="77"/>
        <v>0</v>
      </c>
      <c r="Q339" s="32">
        <f t="shared" ca="1" si="78"/>
        <v>0</v>
      </c>
      <c r="R339" s="16">
        <f t="shared" ca="1" si="79"/>
        <v>-7.4214468061546803E-3</v>
      </c>
    </row>
    <row r="340" spans="1:18">
      <c r="A340" s="71"/>
      <c r="B340" s="71"/>
      <c r="C340" s="71"/>
      <c r="D340" s="72">
        <f t="shared" si="65"/>
        <v>0</v>
      </c>
      <c r="E340" s="72">
        <f t="shared" si="66"/>
        <v>0</v>
      </c>
      <c r="F340" s="32">
        <f t="shared" si="67"/>
        <v>0</v>
      </c>
      <c r="G340" s="32">
        <f t="shared" si="68"/>
        <v>0</v>
      </c>
      <c r="H340" s="32">
        <f t="shared" si="69"/>
        <v>0</v>
      </c>
      <c r="I340" s="32">
        <f t="shared" si="70"/>
        <v>0</v>
      </c>
      <c r="J340" s="32">
        <f t="shared" si="71"/>
        <v>0</v>
      </c>
      <c r="K340" s="32">
        <f t="shared" si="72"/>
        <v>0</v>
      </c>
      <c r="L340" s="32">
        <f t="shared" si="73"/>
        <v>0</v>
      </c>
      <c r="M340" s="32">
        <f t="shared" ca="1" si="74"/>
        <v>7.4214468061546803E-3</v>
      </c>
      <c r="N340" s="32">
        <f t="shared" ca="1" si="75"/>
        <v>0</v>
      </c>
      <c r="O340" s="122">
        <f t="shared" ca="1" si="76"/>
        <v>0</v>
      </c>
      <c r="P340" s="32">
        <f t="shared" ca="1" si="77"/>
        <v>0</v>
      </c>
      <c r="Q340" s="32">
        <f t="shared" ca="1" si="78"/>
        <v>0</v>
      </c>
      <c r="R340" s="16">
        <f t="shared" ca="1" si="79"/>
        <v>-7.4214468061546803E-3</v>
      </c>
    </row>
    <row r="341" spans="1:18">
      <c r="A341" s="71"/>
      <c r="B341" s="71"/>
      <c r="C341" s="71"/>
      <c r="D341" s="72">
        <f t="shared" si="65"/>
        <v>0</v>
      </c>
      <c r="E341" s="72">
        <f t="shared" si="66"/>
        <v>0</v>
      </c>
      <c r="F341" s="32">
        <f t="shared" si="67"/>
        <v>0</v>
      </c>
      <c r="G341" s="32">
        <f t="shared" si="68"/>
        <v>0</v>
      </c>
      <c r="H341" s="32">
        <f t="shared" si="69"/>
        <v>0</v>
      </c>
      <c r="I341" s="32">
        <f t="shared" si="70"/>
        <v>0</v>
      </c>
      <c r="J341" s="32">
        <f t="shared" si="71"/>
        <v>0</v>
      </c>
      <c r="K341" s="32">
        <f t="shared" si="72"/>
        <v>0</v>
      </c>
      <c r="L341" s="32">
        <f t="shared" si="73"/>
        <v>0</v>
      </c>
      <c r="M341" s="32">
        <f t="shared" ca="1" si="74"/>
        <v>7.4214468061546803E-3</v>
      </c>
      <c r="N341" s="32">
        <f ca="1">C341*(M341-E341)^2</f>
        <v>0</v>
      </c>
      <c r="O341" s="122">
        <f t="shared" ca="1" si="76"/>
        <v>0</v>
      </c>
      <c r="P341" s="32">
        <f ca="1">(-C341*O$2+O$4*F341-O$5*H341)^2</f>
        <v>0</v>
      </c>
      <c r="Q341" s="32">
        <f t="shared" ca="1" si="78"/>
        <v>0</v>
      </c>
      <c r="R341" s="16">
        <f t="shared" ca="1" si="79"/>
        <v>-7.4214468061546803E-3</v>
      </c>
    </row>
    <row r="342" spans="1:18">
      <c r="A342" s="71"/>
      <c r="B342" s="71"/>
      <c r="C342" s="71"/>
      <c r="D342" s="72">
        <f t="shared" si="65"/>
        <v>0</v>
      </c>
      <c r="E342" s="72">
        <f t="shared" si="66"/>
        <v>0</v>
      </c>
      <c r="F342" s="32">
        <f t="shared" si="67"/>
        <v>0</v>
      </c>
      <c r="G342" s="32">
        <f t="shared" si="68"/>
        <v>0</v>
      </c>
      <c r="H342" s="32">
        <f t="shared" si="69"/>
        <v>0</v>
      </c>
      <c r="I342" s="32">
        <f t="shared" si="70"/>
        <v>0</v>
      </c>
      <c r="J342" s="32">
        <f t="shared" si="71"/>
        <v>0</v>
      </c>
      <c r="K342" s="32">
        <f t="shared" si="72"/>
        <v>0</v>
      </c>
      <c r="L342" s="32">
        <f t="shared" si="73"/>
        <v>0</v>
      </c>
      <c r="M342" s="32">
        <f t="shared" ca="1" si="74"/>
        <v>7.4214468061546803E-3</v>
      </c>
      <c r="N342" s="32">
        <f ca="1">C342*(M342-E342)^2</f>
        <v>0</v>
      </c>
      <c r="O342" s="122">
        <f t="shared" ca="1" si="76"/>
        <v>0</v>
      </c>
      <c r="P342" s="32">
        <f ca="1">(-C342*O$2+O$4*F342-O$5*H342)^2</f>
        <v>0</v>
      </c>
      <c r="Q342" s="32">
        <f t="shared" ca="1" si="78"/>
        <v>0</v>
      </c>
      <c r="R342" s="16">
        <f t="shared" ca="1" si="79"/>
        <v>-7.4214468061546803E-3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39"/>
  <sheetViews>
    <sheetView workbookViewId="0"/>
  </sheetViews>
  <sheetFormatPr defaultRowHeight="12.75"/>
  <cols>
    <col min="1" max="1" width="14.28515625" style="88" customWidth="1"/>
    <col min="2" max="2" width="4.42578125" customWidth="1"/>
    <col min="3" max="3" width="12.7109375" style="88" customWidth="1"/>
    <col min="4" max="4" width="5.42578125" customWidth="1"/>
    <col min="5" max="5" width="14.85546875" customWidth="1"/>
    <col min="7" max="7" width="12" customWidth="1"/>
    <col min="8" max="8" width="14.140625" style="8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9" t="s">
        <v>212</v>
      </c>
      <c r="I1" s="180" t="s">
        <v>67</v>
      </c>
      <c r="J1" s="181" t="s">
        <v>213</v>
      </c>
    </row>
    <row r="2" spans="1:16">
      <c r="I2" s="182" t="s">
        <v>78</v>
      </c>
      <c r="J2" s="183" t="s">
        <v>179</v>
      </c>
    </row>
    <row r="3" spans="1:16">
      <c r="A3" s="184" t="s">
        <v>214</v>
      </c>
      <c r="I3" s="182" t="s">
        <v>82</v>
      </c>
      <c r="J3" s="183" t="s">
        <v>195</v>
      </c>
    </row>
    <row r="4" spans="1:16">
      <c r="I4" s="182" t="s">
        <v>97</v>
      </c>
      <c r="J4" s="183" t="s">
        <v>195</v>
      </c>
    </row>
    <row r="5" spans="1:16" ht="13.5" thickBot="1">
      <c r="I5" s="185" t="s">
        <v>121</v>
      </c>
      <c r="J5" s="186" t="s">
        <v>181</v>
      </c>
    </row>
    <row r="10" spans="1:16" ht="13.5" thickBot="1"/>
    <row r="11" spans="1:16" ht="13.5" thickBot="1">
      <c r="A11" s="88" t="str">
        <f t="shared" ref="A11:A42" si="0">P11</f>
        <v> IODE 4.2.197 </v>
      </c>
      <c r="B11" s="4" t="str">
        <f t="shared" ref="B11:B42" si="1">IF(H11=INT(H11),"I","II")</f>
        <v>II</v>
      </c>
      <c r="C11" s="88">
        <f t="shared" ref="C11:C42" si="2">1*G11</f>
        <v>28731.308000000001</v>
      </c>
      <c r="D11" t="str">
        <f t="shared" ref="D11:D42" si="3">VLOOKUP(F11,I$1:J$5,2,FALSE)</f>
        <v>vis</v>
      </c>
      <c r="E11" s="187">
        <f>VLOOKUP(C11,'Active 1'!C$21:E$967,3,FALSE)</f>
        <v>-44820.459960737237</v>
      </c>
      <c r="F11" s="4" t="str">
        <f>LEFT(M11,1)</f>
        <v>V</v>
      </c>
      <c r="G11" t="str">
        <f t="shared" ref="G11:G42" si="4">MID(I11,3,LEN(I11)-3)</f>
        <v>28731.308</v>
      </c>
      <c r="H11" s="88">
        <f t="shared" ref="H11:H42" si="5">1*K11</f>
        <v>-44819.5</v>
      </c>
      <c r="I11" s="188" t="s">
        <v>216</v>
      </c>
      <c r="J11" s="189" t="s">
        <v>217</v>
      </c>
      <c r="K11" s="188">
        <v>-44819.5</v>
      </c>
      <c r="L11" s="188" t="s">
        <v>218</v>
      </c>
      <c r="M11" s="189" t="s">
        <v>215</v>
      </c>
      <c r="N11" s="189"/>
      <c r="O11" s="190" t="s">
        <v>219</v>
      </c>
      <c r="P11" s="190" t="s">
        <v>220</v>
      </c>
    </row>
    <row r="12" spans="1:16" ht="13.5" thickBot="1">
      <c r="A12" s="88" t="str">
        <f t="shared" si="0"/>
        <v> IODE 4.2.197 </v>
      </c>
      <c r="B12" s="4" t="str">
        <f t="shared" si="1"/>
        <v>I</v>
      </c>
      <c r="C12" s="88">
        <f t="shared" si="2"/>
        <v>28731.477999999999</v>
      </c>
      <c r="D12" t="str">
        <f t="shared" si="3"/>
        <v>vis</v>
      </c>
      <c r="E12" s="187">
        <f>VLOOKUP(C12,'Active 1'!C$21:E$967,3,FALSE)</f>
        <v>-44819.985442333644</v>
      </c>
      <c r="F12" s="4" t="str">
        <f>LEFT(M12,1)</f>
        <v>V</v>
      </c>
      <c r="G12" t="str">
        <f t="shared" si="4"/>
        <v>28731.478</v>
      </c>
      <c r="H12" s="88">
        <f t="shared" si="5"/>
        <v>-44819</v>
      </c>
      <c r="I12" s="188" t="s">
        <v>221</v>
      </c>
      <c r="J12" s="189" t="s">
        <v>222</v>
      </c>
      <c r="K12" s="188">
        <v>-44819</v>
      </c>
      <c r="L12" s="188" t="s">
        <v>223</v>
      </c>
      <c r="M12" s="189" t="s">
        <v>215</v>
      </c>
      <c r="N12" s="189"/>
      <c r="O12" s="190" t="s">
        <v>219</v>
      </c>
      <c r="P12" s="190" t="s">
        <v>220</v>
      </c>
    </row>
    <row r="13" spans="1:16" ht="13.5" thickBot="1">
      <c r="A13" s="88" t="str">
        <f t="shared" si="0"/>
        <v> IODE 4.2.197 </v>
      </c>
      <c r="B13" s="4" t="str">
        <f t="shared" si="1"/>
        <v>II</v>
      </c>
      <c r="C13" s="88">
        <f t="shared" si="2"/>
        <v>29046.215</v>
      </c>
      <c r="D13" t="str">
        <f t="shared" si="3"/>
        <v>vis</v>
      </c>
      <c r="E13" s="187">
        <f>VLOOKUP(C13,'Active 1'!C$21:E$967,3,FALSE)</f>
        <v>-43941.464861200438</v>
      </c>
      <c r="F13" s="4" t="str">
        <f>LEFT(M13,1)</f>
        <v>V</v>
      </c>
      <c r="G13" t="str">
        <f t="shared" si="4"/>
        <v>29046.215</v>
      </c>
      <c r="H13" s="88">
        <f t="shared" si="5"/>
        <v>-43940.5</v>
      </c>
      <c r="I13" s="188" t="s">
        <v>224</v>
      </c>
      <c r="J13" s="189" t="s">
        <v>225</v>
      </c>
      <c r="K13" s="188">
        <v>-43940.5</v>
      </c>
      <c r="L13" s="188" t="s">
        <v>226</v>
      </c>
      <c r="M13" s="189" t="s">
        <v>215</v>
      </c>
      <c r="N13" s="189"/>
      <c r="O13" s="190" t="s">
        <v>219</v>
      </c>
      <c r="P13" s="190" t="s">
        <v>220</v>
      </c>
    </row>
    <row r="14" spans="1:16" ht="13.5" thickBot="1">
      <c r="A14" s="88" t="str">
        <f t="shared" si="0"/>
        <v> IODE 4.2.197 </v>
      </c>
      <c r="B14" s="4" t="str">
        <f t="shared" si="1"/>
        <v>I</v>
      </c>
      <c r="C14" s="88">
        <f t="shared" si="2"/>
        <v>29046.404999999999</v>
      </c>
      <c r="D14" t="str">
        <f t="shared" si="3"/>
        <v>vis</v>
      </c>
      <c r="E14" s="187">
        <f>VLOOKUP(C14,'Active 1'!C$21:E$967,3,FALSE)</f>
        <v>-43940.934517102309</v>
      </c>
      <c r="F14" s="4" t="str">
        <f>LEFT(M14,1)</f>
        <v>V</v>
      </c>
      <c r="G14" t="str">
        <f t="shared" si="4"/>
        <v>29046.405</v>
      </c>
      <c r="H14" s="88">
        <f t="shared" si="5"/>
        <v>-43940</v>
      </c>
      <c r="I14" s="188" t="s">
        <v>227</v>
      </c>
      <c r="J14" s="189" t="s">
        <v>228</v>
      </c>
      <c r="K14" s="188">
        <v>-43940</v>
      </c>
      <c r="L14" s="188" t="s">
        <v>229</v>
      </c>
      <c r="M14" s="189" t="s">
        <v>215</v>
      </c>
      <c r="N14" s="189"/>
      <c r="O14" s="190" t="s">
        <v>219</v>
      </c>
      <c r="P14" s="190" t="s">
        <v>220</v>
      </c>
    </row>
    <row r="15" spans="1:16" ht="13.5" thickBot="1">
      <c r="A15" s="88" t="str">
        <f t="shared" si="0"/>
        <v> AC 61.9 </v>
      </c>
      <c r="B15" s="4" t="str">
        <f t="shared" si="1"/>
        <v>I</v>
      </c>
      <c r="C15" s="88">
        <f t="shared" si="2"/>
        <v>29369.184000000001</v>
      </c>
      <c r="D15" t="str">
        <f t="shared" si="3"/>
        <v>vis</v>
      </c>
      <c r="E15" s="187">
        <f>VLOOKUP(C15,'Active 1'!C$21:E$967,3,FALSE)</f>
        <v>-43039.966424194281</v>
      </c>
      <c r="F15" s="4" t="str">
        <f>LEFT(M15,1)</f>
        <v>V</v>
      </c>
      <c r="G15" t="str">
        <f t="shared" si="4"/>
        <v>29369.184</v>
      </c>
      <c r="H15" s="88">
        <f t="shared" si="5"/>
        <v>-43039</v>
      </c>
      <c r="I15" s="188" t="s">
        <v>230</v>
      </c>
      <c r="J15" s="189" t="s">
        <v>231</v>
      </c>
      <c r="K15" s="188">
        <v>-43039</v>
      </c>
      <c r="L15" s="188" t="s">
        <v>232</v>
      </c>
      <c r="M15" s="189" t="s">
        <v>215</v>
      </c>
      <c r="N15" s="189"/>
      <c r="O15" s="190" t="s">
        <v>233</v>
      </c>
      <c r="P15" s="190" t="s">
        <v>234</v>
      </c>
    </row>
    <row r="16" spans="1:16" ht="13.5" thickBot="1">
      <c r="A16" s="88" t="str">
        <f t="shared" si="0"/>
        <v> IODE 4.2.197 </v>
      </c>
      <c r="B16" s="4" t="str">
        <f t="shared" si="1"/>
        <v>II</v>
      </c>
      <c r="C16" s="88">
        <f t="shared" si="2"/>
        <v>30493.286</v>
      </c>
      <c r="D16" t="str">
        <f t="shared" si="3"/>
        <v>vis</v>
      </c>
      <c r="E16" s="187">
        <f>VLOOKUP(C16,'Active 1'!C$21:E$967,3,FALSE)</f>
        <v>-39902.277679963416</v>
      </c>
      <c r="F16" s="4" t="s">
        <v>121</v>
      </c>
      <c r="G16" t="str">
        <f t="shared" si="4"/>
        <v>30493.286</v>
      </c>
      <c r="H16" s="88">
        <f t="shared" si="5"/>
        <v>-39901.5</v>
      </c>
      <c r="I16" s="188" t="s">
        <v>235</v>
      </c>
      <c r="J16" s="189" t="s">
        <v>236</v>
      </c>
      <c r="K16" s="188">
        <v>-39901.5</v>
      </c>
      <c r="L16" s="188" t="s">
        <v>237</v>
      </c>
      <c r="M16" s="189" t="s">
        <v>215</v>
      </c>
      <c r="N16" s="189"/>
      <c r="O16" s="190" t="s">
        <v>219</v>
      </c>
      <c r="P16" s="190" t="s">
        <v>220</v>
      </c>
    </row>
    <row r="17" spans="1:16" ht="13.5" thickBot="1">
      <c r="A17" s="88" t="str">
        <f t="shared" si="0"/>
        <v> IODE 4.2.197 </v>
      </c>
      <c r="B17" s="4" t="str">
        <f t="shared" si="1"/>
        <v>I</v>
      </c>
      <c r="C17" s="88">
        <f t="shared" si="2"/>
        <v>30493.473000000002</v>
      </c>
      <c r="D17" t="str">
        <f t="shared" si="3"/>
        <v>vis</v>
      </c>
      <c r="E17" s="187">
        <f>VLOOKUP(C17,'Active 1'!C$21:E$967,3,FALSE)</f>
        <v>-39901.755709719451</v>
      </c>
      <c r="F17" s="4" t="s">
        <v>121</v>
      </c>
      <c r="G17" t="str">
        <f t="shared" si="4"/>
        <v>30493.473</v>
      </c>
      <c r="H17" s="88">
        <f t="shared" si="5"/>
        <v>-39901</v>
      </c>
      <c r="I17" s="188" t="s">
        <v>238</v>
      </c>
      <c r="J17" s="189" t="s">
        <v>239</v>
      </c>
      <c r="K17" s="188">
        <v>-39901</v>
      </c>
      <c r="L17" s="188" t="s">
        <v>240</v>
      </c>
      <c r="M17" s="189" t="s">
        <v>215</v>
      </c>
      <c r="N17" s="189"/>
      <c r="O17" s="190" t="s">
        <v>219</v>
      </c>
      <c r="P17" s="190" t="s">
        <v>220</v>
      </c>
    </row>
    <row r="18" spans="1:16" ht="13.5" thickBot="1">
      <c r="A18" s="88" t="str">
        <f t="shared" si="0"/>
        <v> IODE 4.2.197 </v>
      </c>
      <c r="B18" s="4" t="str">
        <f t="shared" si="1"/>
        <v>II</v>
      </c>
      <c r="C18" s="88">
        <f t="shared" si="2"/>
        <v>30899.22</v>
      </c>
      <c r="D18" t="str">
        <f t="shared" si="3"/>
        <v>vis</v>
      </c>
      <c r="E18" s="187">
        <f>VLOOKUP(C18,'Active 1'!C$21:E$967,3,FALSE)</f>
        <v>-38769.200305578692</v>
      </c>
      <c r="F18" s="4" t="s">
        <v>121</v>
      </c>
      <c r="G18" t="str">
        <f t="shared" si="4"/>
        <v>30899.220</v>
      </c>
      <c r="H18" s="88">
        <f t="shared" si="5"/>
        <v>-38768.5</v>
      </c>
      <c r="I18" s="188" t="s">
        <v>241</v>
      </c>
      <c r="J18" s="189" t="s">
        <v>242</v>
      </c>
      <c r="K18" s="188">
        <v>-38768.5</v>
      </c>
      <c r="L18" s="188" t="s">
        <v>243</v>
      </c>
      <c r="M18" s="189" t="s">
        <v>215</v>
      </c>
      <c r="N18" s="189"/>
      <c r="O18" s="190" t="s">
        <v>244</v>
      </c>
      <c r="P18" s="190" t="s">
        <v>220</v>
      </c>
    </row>
    <row r="19" spans="1:16" ht="13.5" thickBot="1">
      <c r="A19" s="88" t="str">
        <f t="shared" si="0"/>
        <v> IODE 4.2.197 </v>
      </c>
      <c r="B19" s="4" t="str">
        <f t="shared" si="1"/>
        <v>I</v>
      </c>
      <c r="C19" s="88">
        <f t="shared" si="2"/>
        <v>30899.399000000001</v>
      </c>
      <c r="D19" t="str">
        <f t="shared" si="3"/>
        <v>vis</v>
      </c>
      <c r="E19" s="187">
        <f>VLOOKUP(C19,'Active 1'!C$21:E$967,3,FALSE)</f>
        <v>-38768.700665612552</v>
      </c>
      <c r="F19" s="4" t="s">
        <v>121</v>
      </c>
      <c r="G19" t="str">
        <f t="shared" si="4"/>
        <v>30899.399</v>
      </c>
      <c r="H19" s="88">
        <f t="shared" si="5"/>
        <v>-38768</v>
      </c>
      <c r="I19" s="188" t="s">
        <v>245</v>
      </c>
      <c r="J19" s="189" t="s">
        <v>246</v>
      </c>
      <c r="K19" s="188">
        <v>-38768</v>
      </c>
      <c r="L19" s="188" t="s">
        <v>243</v>
      </c>
      <c r="M19" s="189" t="s">
        <v>215</v>
      </c>
      <c r="N19" s="189"/>
      <c r="O19" s="190" t="s">
        <v>244</v>
      </c>
      <c r="P19" s="190" t="s">
        <v>220</v>
      </c>
    </row>
    <row r="20" spans="1:16" ht="13.5" thickBot="1">
      <c r="A20" s="88" t="str">
        <f t="shared" si="0"/>
        <v> IODE 4.2.197 </v>
      </c>
      <c r="B20" s="4" t="str">
        <f t="shared" si="1"/>
        <v>I</v>
      </c>
      <c r="C20" s="88">
        <f t="shared" si="2"/>
        <v>31256.240000000002</v>
      </c>
      <c r="D20" t="str">
        <f t="shared" si="3"/>
        <v>vis</v>
      </c>
      <c r="E20" s="187">
        <f>VLOOKUP(C20,'Active 1'!C$21:E$967,3,FALSE)</f>
        <v>-37772.655832332217</v>
      </c>
      <c r="F20" s="4" t="s">
        <v>121</v>
      </c>
      <c r="G20" t="str">
        <f t="shared" si="4"/>
        <v>31256.240</v>
      </c>
      <c r="H20" s="88">
        <f t="shared" si="5"/>
        <v>-37772</v>
      </c>
      <c r="I20" s="188" t="s">
        <v>247</v>
      </c>
      <c r="J20" s="189" t="s">
        <v>248</v>
      </c>
      <c r="K20" s="188">
        <v>-37772</v>
      </c>
      <c r="L20" s="188" t="s">
        <v>249</v>
      </c>
      <c r="M20" s="189" t="s">
        <v>215</v>
      </c>
      <c r="N20" s="189"/>
      <c r="O20" s="190" t="s">
        <v>244</v>
      </c>
      <c r="P20" s="190" t="s">
        <v>220</v>
      </c>
    </row>
    <row r="21" spans="1:16" ht="13.5" thickBot="1">
      <c r="A21" s="88" t="str">
        <f t="shared" si="0"/>
        <v> IODE 4.2.197 </v>
      </c>
      <c r="B21" s="4" t="str">
        <f t="shared" si="1"/>
        <v>II</v>
      </c>
      <c r="C21" s="88">
        <f t="shared" si="2"/>
        <v>31256.425999999999</v>
      </c>
      <c r="D21" t="str">
        <f t="shared" si="3"/>
        <v>vis</v>
      </c>
      <c r="E21" s="187">
        <f>VLOOKUP(C21,'Active 1'!C$21:E$967,3,FALSE)</f>
        <v>-37772.136653372996</v>
      </c>
      <c r="F21" s="4" t="s">
        <v>121</v>
      </c>
      <c r="G21" t="str">
        <f t="shared" si="4"/>
        <v>31256.426</v>
      </c>
      <c r="H21" s="88">
        <f t="shared" si="5"/>
        <v>-37771.5</v>
      </c>
      <c r="I21" s="188" t="s">
        <v>250</v>
      </c>
      <c r="J21" s="189" t="s">
        <v>251</v>
      </c>
      <c r="K21" s="188">
        <v>-37771.5</v>
      </c>
      <c r="L21" s="188" t="s">
        <v>252</v>
      </c>
      <c r="M21" s="189" t="s">
        <v>215</v>
      </c>
      <c r="N21" s="189"/>
      <c r="O21" s="190" t="s">
        <v>244</v>
      </c>
      <c r="P21" s="190" t="s">
        <v>220</v>
      </c>
    </row>
    <row r="22" spans="1:16" ht="13.5" thickBot="1">
      <c r="A22" s="88" t="str">
        <f t="shared" si="0"/>
        <v> PZ 12.272 </v>
      </c>
      <c r="B22" s="4" t="str">
        <f t="shared" si="1"/>
        <v>II</v>
      </c>
      <c r="C22" s="88">
        <f t="shared" si="2"/>
        <v>32337.678</v>
      </c>
      <c r="D22" t="str">
        <f t="shared" si="3"/>
        <v>vis</v>
      </c>
      <c r="E22" s="187">
        <f>VLOOKUP(C22,'Active 1'!C$21:E$967,3,FALSE)</f>
        <v>-34754.054459695624</v>
      </c>
      <c r="F22" s="4" t="s">
        <v>121</v>
      </c>
      <c r="G22" t="str">
        <f t="shared" si="4"/>
        <v>32337.678</v>
      </c>
      <c r="H22" s="88">
        <f t="shared" si="5"/>
        <v>-34753.5</v>
      </c>
      <c r="I22" s="188" t="s">
        <v>253</v>
      </c>
      <c r="J22" s="189" t="s">
        <v>254</v>
      </c>
      <c r="K22" s="188">
        <v>-34753.5</v>
      </c>
      <c r="L22" s="188" t="s">
        <v>255</v>
      </c>
      <c r="M22" s="189" t="s">
        <v>215</v>
      </c>
      <c r="N22" s="189"/>
      <c r="O22" s="190" t="s">
        <v>233</v>
      </c>
      <c r="P22" s="190" t="s">
        <v>256</v>
      </c>
    </row>
    <row r="23" spans="1:16" ht="13.5" thickBot="1">
      <c r="A23" s="88" t="str">
        <f t="shared" si="0"/>
        <v> BBS 96 </v>
      </c>
      <c r="B23" s="4" t="str">
        <f t="shared" si="1"/>
        <v>I</v>
      </c>
      <c r="C23" s="88">
        <f t="shared" si="2"/>
        <v>48085.46</v>
      </c>
      <c r="D23" t="str">
        <f t="shared" si="3"/>
        <v>vis</v>
      </c>
      <c r="E23" s="187">
        <f>VLOOKUP(C23,'Active 1'!C$21:E$967,3,FALSE)</f>
        <v>9202.4889216002593</v>
      </c>
      <c r="F23" s="4" t="s">
        <v>121</v>
      </c>
      <c r="G23" t="str">
        <f t="shared" si="4"/>
        <v>48085.460</v>
      </c>
      <c r="H23" s="88">
        <f t="shared" si="5"/>
        <v>9201</v>
      </c>
      <c r="I23" s="188" t="s">
        <v>282</v>
      </c>
      <c r="J23" s="189" t="s">
        <v>283</v>
      </c>
      <c r="K23" s="188">
        <v>9201</v>
      </c>
      <c r="L23" s="188" t="s">
        <v>284</v>
      </c>
      <c r="M23" s="189" t="s">
        <v>215</v>
      </c>
      <c r="N23" s="189"/>
      <c r="O23" s="190" t="s">
        <v>285</v>
      </c>
      <c r="P23" s="190" t="s">
        <v>286</v>
      </c>
    </row>
    <row r="24" spans="1:16" ht="13.5" thickBot="1">
      <c r="A24" s="88" t="str">
        <f t="shared" si="0"/>
        <v> BBS 96 </v>
      </c>
      <c r="B24" s="4" t="str">
        <f t="shared" si="1"/>
        <v>I</v>
      </c>
      <c r="C24" s="88">
        <f t="shared" si="2"/>
        <v>48094.417999999998</v>
      </c>
      <c r="D24" t="str">
        <f t="shared" si="3"/>
        <v>vis</v>
      </c>
      <c r="E24" s="187">
        <f>VLOOKUP(C24,'Active 1'!C$21:E$967,3,FALSE)</f>
        <v>9227.4932501850471</v>
      </c>
      <c r="F24" s="4" t="s">
        <v>121</v>
      </c>
      <c r="G24" t="str">
        <f t="shared" si="4"/>
        <v>48094.418</v>
      </c>
      <c r="H24" s="88">
        <f t="shared" si="5"/>
        <v>9226</v>
      </c>
      <c r="I24" s="188" t="s">
        <v>287</v>
      </c>
      <c r="J24" s="189" t="s">
        <v>288</v>
      </c>
      <c r="K24" s="188">
        <v>9226</v>
      </c>
      <c r="L24" s="188" t="s">
        <v>289</v>
      </c>
      <c r="M24" s="189" t="s">
        <v>215</v>
      </c>
      <c r="N24" s="189"/>
      <c r="O24" s="190" t="s">
        <v>285</v>
      </c>
      <c r="P24" s="190" t="s">
        <v>286</v>
      </c>
    </row>
    <row r="25" spans="1:16" ht="13.5" thickBot="1">
      <c r="A25" s="88" t="str">
        <f t="shared" si="0"/>
        <v> BBS 96 </v>
      </c>
      <c r="B25" s="4" t="str">
        <f t="shared" si="1"/>
        <v>I</v>
      </c>
      <c r="C25" s="88">
        <f t="shared" si="2"/>
        <v>48122.360999999997</v>
      </c>
      <c r="D25" t="str">
        <f t="shared" si="3"/>
        <v>vis</v>
      </c>
      <c r="E25" s="187">
        <f>VLOOKUP(C25,'Active 1'!C$21:E$967,3,FALSE)</f>
        <v>9305.490119312617</v>
      </c>
      <c r="F25" s="4" t="s">
        <v>121</v>
      </c>
      <c r="G25" t="str">
        <f t="shared" si="4"/>
        <v>48122.361</v>
      </c>
      <c r="H25" s="88">
        <f t="shared" si="5"/>
        <v>9304</v>
      </c>
      <c r="I25" s="188" t="s">
        <v>290</v>
      </c>
      <c r="J25" s="189" t="s">
        <v>291</v>
      </c>
      <c r="K25" s="188">
        <v>9304</v>
      </c>
      <c r="L25" s="188" t="s">
        <v>284</v>
      </c>
      <c r="M25" s="189" t="s">
        <v>215</v>
      </c>
      <c r="N25" s="189"/>
      <c r="O25" s="190" t="s">
        <v>285</v>
      </c>
      <c r="P25" s="190" t="s">
        <v>286</v>
      </c>
    </row>
    <row r="26" spans="1:16" ht="13.5" thickBot="1">
      <c r="A26" s="88" t="str">
        <f t="shared" si="0"/>
        <v> AAP 465, 943ff </v>
      </c>
      <c r="B26" s="4" t="str">
        <f t="shared" si="1"/>
        <v>II</v>
      </c>
      <c r="C26" s="88">
        <f t="shared" si="2"/>
        <v>53189.010199999997</v>
      </c>
      <c r="D26" t="str">
        <f t="shared" si="3"/>
        <v>vis</v>
      </c>
      <c r="E26" s="187">
        <f>VLOOKUP(C26,'Active 1'!C$21:E$967,3,FALSE)</f>
        <v>23447.950648522896</v>
      </c>
      <c r="F26" s="4" t="s">
        <v>121</v>
      </c>
      <c r="G26" t="str">
        <f t="shared" si="4"/>
        <v>53189.0102</v>
      </c>
      <c r="H26" s="88">
        <f t="shared" si="5"/>
        <v>23444.5</v>
      </c>
      <c r="I26" s="188" t="s">
        <v>316</v>
      </c>
      <c r="J26" s="189" t="s">
        <v>317</v>
      </c>
      <c r="K26" s="188">
        <v>23444.5</v>
      </c>
      <c r="L26" s="188" t="s">
        <v>318</v>
      </c>
      <c r="M26" s="189" t="s">
        <v>260</v>
      </c>
      <c r="N26" s="189" t="s">
        <v>319</v>
      </c>
      <c r="O26" s="190" t="s">
        <v>320</v>
      </c>
      <c r="P26" s="190" t="s">
        <v>321</v>
      </c>
    </row>
    <row r="27" spans="1:16" ht="13.5" thickBot="1">
      <c r="A27" s="88" t="str">
        <f t="shared" si="0"/>
        <v> AAP 465, 943ff </v>
      </c>
      <c r="B27" s="4" t="str">
        <f t="shared" si="1"/>
        <v>I</v>
      </c>
      <c r="C27" s="88">
        <f t="shared" si="2"/>
        <v>53190.977599999998</v>
      </c>
      <c r="D27" t="str">
        <f t="shared" si="3"/>
        <v>vis</v>
      </c>
      <c r="E27" s="187">
        <f>VLOOKUP(C27,'Active 1'!C$21:E$967,3,FALSE)</f>
        <v>23453.442222094873</v>
      </c>
      <c r="F27" s="4" t="s">
        <v>121</v>
      </c>
      <c r="G27" t="str">
        <f t="shared" si="4"/>
        <v>53190.9776</v>
      </c>
      <c r="H27" s="88">
        <f t="shared" si="5"/>
        <v>23450</v>
      </c>
      <c r="I27" s="188" t="s">
        <v>322</v>
      </c>
      <c r="J27" s="189" t="s">
        <v>323</v>
      </c>
      <c r="K27" s="188">
        <v>23450</v>
      </c>
      <c r="L27" s="188" t="s">
        <v>324</v>
      </c>
      <c r="M27" s="189" t="s">
        <v>260</v>
      </c>
      <c r="N27" s="189" t="s">
        <v>319</v>
      </c>
      <c r="O27" s="190" t="s">
        <v>320</v>
      </c>
      <c r="P27" s="190" t="s">
        <v>321</v>
      </c>
    </row>
    <row r="28" spans="1:16" ht="13.5" thickBot="1">
      <c r="A28" s="88" t="str">
        <f t="shared" si="0"/>
        <v>IBVS 5690 </v>
      </c>
      <c r="B28" s="4" t="str">
        <f t="shared" si="1"/>
        <v>I</v>
      </c>
      <c r="C28" s="88">
        <f t="shared" si="2"/>
        <v>53438.895199999999</v>
      </c>
      <c r="D28" t="str">
        <f t="shared" si="3"/>
        <v>vis</v>
      </c>
      <c r="E28" s="187">
        <f>VLOOKUP(C28,'Active 1'!C$21:E$967,3,FALSE)</f>
        <v>24145.450832538347</v>
      </c>
      <c r="F28" s="4" t="s">
        <v>121</v>
      </c>
      <c r="G28" t="str">
        <f t="shared" si="4"/>
        <v>53438.8952</v>
      </c>
      <c r="H28" s="88">
        <f t="shared" si="5"/>
        <v>24142</v>
      </c>
      <c r="I28" s="188" t="s">
        <v>325</v>
      </c>
      <c r="J28" s="189" t="s">
        <v>326</v>
      </c>
      <c r="K28" s="188">
        <v>24142</v>
      </c>
      <c r="L28" s="188" t="s">
        <v>327</v>
      </c>
      <c r="M28" s="189" t="s">
        <v>260</v>
      </c>
      <c r="N28" s="189" t="s">
        <v>261</v>
      </c>
      <c r="O28" s="190" t="s">
        <v>328</v>
      </c>
      <c r="P28" s="191" t="s">
        <v>329</v>
      </c>
    </row>
    <row r="29" spans="1:16" ht="13.5" thickBot="1">
      <c r="A29" s="88" t="str">
        <f t="shared" si="0"/>
        <v>IBVS 5741 </v>
      </c>
      <c r="B29" s="4" t="str">
        <f t="shared" si="1"/>
        <v>II</v>
      </c>
      <c r="C29" s="88">
        <f t="shared" si="2"/>
        <v>53450.538699999997</v>
      </c>
      <c r="D29" t="str">
        <f t="shared" si="3"/>
        <v>vis</v>
      </c>
      <c r="E29" s="187">
        <f>VLOOKUP(C29,'Active 1'!C$21:E$967,3,FALSE)</f>
        <v>24177.95115625759</v>
      </c>
      <c r="F29" s="4" t="s">
        <v>121</v>
      </c>
      <c r="G29" t="str">
        <f t="shared" si="4"/>
        <v>53450.5387</v>
      </c>
      <c r="H29" s="88">
        <f t="shared" si="5"/>
        <v>24174.5</v>
      </c>
      <c r="I29" s="188" t="s">
        <v>330</v>
      </c>
      <c r="J29" s="189" t="s">
        <v>331</v>
      </c>
      <c r="K29" s="188">
        <v>24174.5</v>
      </c>
      <c r="L29" s="188" t="s">
        <v>327</v>
      </c>
      <c r="M29" s="189" t="s">
        <v>260</v>
      </c>
      <c r="N29" s="189" t="s">
        <v>261</v>
      </c>
      <c r="O29" s="190" t="s">
        <v>332</v>
      </c>
      <c r="P29" s="191" t="s">
        <v>333</v>
      </c>
    </row>
    <row r="30" spans="1:16" ht="13.5" thickBot="1">
      <c r="A30" s="88" t="str">
        <f t="shared" si="0"/>
        <v>IBVS 5843 </v>
      </c>
      <c r="B30" s="4" t="str">
        <f t="shared" si="1"/>
        <v>I</v>
      </c>
      <c r="C30" s="88">
        <f t="shared" si="2"/>
        <v>53509.829700000002</v>
      </c>
      <c r="D30" t="str">
        <f t="shared" si="3"/>
        <v>vis</v>
      </c>
      <c r="E30" s="187">
        <f>VLOOKUP(C30,'Active 1'!C$21:E$967,3,FALSE)</f>
        <v>24343.449219008307</v>
      </c>
      <c r="F30" s="4" t="s">
        <v>121</v>
      </c>
      <c r="G30" t="str">
        <f t="shared" si="4"/>
        <v>53509.8297</v>
      </c>
      <c r="H30" s="88">
        <f t="shared" si="5"/>
        <v>24340</v>
      </c>
      <c r="I30" s="188" t="s">
        <v>334</v>
      </c>
      <c r="J30" s="189" t="s">
        <v>335</v>
      </c>
      <c r="K30" s="188">
        <v>24340</v>
      </c>
      <c r="L30" s="188" t="s">
        <v>336</v>
      </c>
      <c r="M30" s="189" t="s">
        <v>295</v>
      </c>
      <c r="N30" s="189" t="s">
        <v>337</v>
      </c>
      <c r="O30" s="190" t="s">
        <v>338</v>
      </c>
      <c r="P30" s="191" t="s">
        <v>339</v>
      </c>
    </row>
    <row r="31" spans="1:16" ht="13.5" thickBot="1">
      <c r="A31" s="88" t="str">
        <f t="shared" si="0"/>
        <v>IBVS 5843 </v>
      </c>
      <c r="B31" s="4" t="str">
        <f t="shared" si="1"/>
        <v>I</v>
      </c>
      <c r="C31" s="88">
        <f t="shared" si="2"/>
        <v>53511.6204</v>
      </c>
      <c r="D31" t="str">
        <f t="shared" si="3"/>
        <v>vis</v>
      </c>
      <c r="E31" s="187">
        <f>VLOOKUP(C31,'Active 1'!C$21:E$967,3,FALSE)</f>
        <v>24348.447572569003</v>
      </c>
      <c r="F31" s="4" t="s">
        <v>121</v>
      </c>
      <c r="G31" t="str">
        <f t="shared" si="4"/>
        <v>53511.6204</v>
      </c>
      <c r="H31" s="88">
        <f t="shared" si="5"/>
        <v>24345</v>
      </c>
      <c r="I31" s="188" t="s">
        <v>340</v>
      </c>
      <c r="J31" s="189" t="s">
        <v>341</v>
      </c>
      <c r="K31" s="188" t="s">
        <v>342</v>
      </c>
      <c r="L31" s="188" t="s">
        <v>343</v>
      </c>
      <c r="M31" s="189" t="s">
        <v>295</v>
      </c>
      <c r="N31" s="189" t="s">
        <v>337</v>
      </c>
      <c r="O31" s="190" t="s">
        <v>338</v>
      </c>
      <c r="P31" s="191" t="s">
        <v>339</v>
      </c>
    </row>
    <row r="32" spans="1:16" ht="13.5" thickBot="1">
      <c r="A32" s="88" t="str">
        <f t="shared" si="0"/>
        <v>IBVS 5843 </v>
      </c>
      <c r="B32" s="4" t="str">
        <f t="shared" si="1"/>
        <v>II</v>
      </c>
      <c r="C32" s="88">
        <f t="shared" si="2"/>
        <v>53511.798499999997</v>
      </c>
      <c r="D32" t="str">
        <f t="shared" si="3"/>
        <v>vis</v>
      </c>
      <c r="E32" s="187">
        <f>VLOOKUP(C32,'Active 1'!C$21:E$967,3,FALSE)</f>
        <v>24348.944700378881</v>
      </c>
      <c r="F32" s="4" t="s">
        <v>121</v>
      </c>
      <c r="G32" t="str">
        <f t="shared" si="4"/>
        <v>53511.7985</v>
      </c>
      <c r="H32" s="88">
        <f t="shared" si="5"/>
        <v>24345.5</v>
      </c>
      <c r="I32" s="188" t="s">
        <v>344</v>
      </c>
      <c r="J32" s="189" t="s">
        <v>345</v>
      </c>
      <c r="K32" s="188" t="s">
        <v>346</v>
      </c>
      <c r="L32" s="188" t="s">
        <v>347</v>
      </c>
      <c r="M32" s="189" t="s">
        <v>295</v>
      </c>
      <c r="N32" s="189" t="s">
        <v>337</v>
      </c>
      <c r="O32" s="190" t="s">
        <v>338</v>
      </c>
      <c r="P32" s="191" t="s">
        <v>339</v>
      </c>
    </row>
    <row r="33" spans="1:16" ht="13.5" thickBot="1">
      <c r="A33" s="88" t="str">
        <f t="shared" si="0"/>
        <v>IBVS 5843 </v>
      </c>
      <c r="B33" s="4" t="str">
        <f t="shared" si="1"/>
        <v>I</v>
      </c>
      <c r="C33" s="88">
        <f t="shared" si="2"/>
        <v>53517.711300000003</v>
      </c>
      <c r="D33" t="str">
        <f t="shared" si="3"/>
        <v>vis</v>
      </c>
      <c r="E33" s="187">
        <f>VLOOKUP(C33,'Active 1'!C$21:E$967,3,FALSE)</f>
        <v>24365.449008712916</v>
      </c>
      <c r="F33" s="4" t="s">
        <v>121</v>
      </c>
      <c r="G33" t="str">
        <f t="shared" si="4"/>
        <v>53517.7113</v>
      </c>
      <c r="H33" s="88">
        <f t="shared" si="5"/>
        <v>24362</v>
      </c>
      <c r="I33" s="188" t="s">
        <v>348</v>
      </c>
      <c r="J33" s="189" t="s">
        <v>349</v>
      </c>
      <c r="K33" s="188" t="s">
        <v>350</v>
      </c>
      <c r="L33" s="188" t="s">
        <v>351</v>
      </c>
      <c r="M33" s="189" t="s">
        <v>295</v>
      </c>
      <c r="N33" s="189" t="s">
        <v>337</v>
      </c>
      <c r="O33" s="190" t="s">
        <v>338</v>
      </c>
      <c r="P33" s="191" t="s">
        <v>339</v>
      </c>
    </row>
    <row r="34" spans="1:16" ht="13.5" thickBot="1">
      <c r="A34" s="88" t="str">
        <f t="shared" si="0"/>
        <v>JAAVSO 37(1);44 </v>
      </c>
      <c r="B34" s="4" t="str">
        <f t="shared" si="1"/>
        <v>I</v>
      </c>
      <c r="C34" s="88">
        <f t="shared" si="2"/>
        <v>54667.352200000001</v>
      </c>
      <c r="D34" t="str">
        <f t="shared" si="3"/>
        <v>vis</v>
      </c>
      <c r="E34" s="187">
        <f>VLOOKUP(C34,'Active 1'!C$21:E$967,3,FALSE)</f>
        <v>27574.424094459086</v>
      </c>
      <c r="F34" s="4" t="s">
        <v>121</v>
      </c>
      <c r="G34" t="str">
        <f t="shared" si="4"/>
        <v>54667.3522</v>
      </c>
      <c r="H34" s="88">
        <f t="shared" si="5"/>
        <v>27571</v>
      </c>
      <c r="I34" s="188" t="s">
        <v>369</v>
      </c>
      <c r="J34" s="189" t="s">
        <v>370</v>
      </c>
      <c r="K34" s="188" t="s">
        <v>371</v>
      </c>
      <c r="L34" s="188" t="s">
        <v>372</v>
      </c>
      <c r="M34" s="189" t="s">
        <v>295</v>
      </c>
      <c r="N34" s="189" t="s">
        <v>296</v>
      </c>
      <c r="O34" s="190" t="s">
        <v>373</v>
      </c>
      <c r="P34" s="191" t="s">
        <v>374</v>
      </c>
    </row>
    <row r="35" spans="1:16" ht="13.5" thickBot="1">
      <c r="A35" s="88" t="str">
        <f t="shared" si="0"/>
        <v>IBVS 5992 </v>
      </c>
      <c r="B35" s="4" t="str">
        <f t="shared" si="1"/>
        <v>I</v>
      </c>
      <c r="C35" s="88">
        <f t="shared" si="2"/>
        <v>55652.909099999997</v>
      </c>
      <c r="D35" t="str">
        <f t="shared" si="3"/>
        <v>vis</v>
      </c>
      <c r="E35" s="187">
        <f>VLOOKUP(C35,'Active 1'!C$21:E$967,3,FALSE)</f>
        <v>30325.394017054237</v>
      </c>
      <c r="F35" s="4" t="s">
        <v>121</v>
      </c>
      <c r="G35" t="str">
        <f t="shared" si="4"/>
        <v>55652.9091</v>
      </c>
      <c r="H35" s="88">
        <f t="shared" si="5"/>
        <v>30322</v>
      </c>
      <c r="I35" s="188" t="s">
        <v>398</v>
      </c>
      <c r="J35" s="189" t="s">
        <v>399</v>
      </c>
      <c r="K35" s="188" t="s">
        <v>400</v>
      </c>
      <c r="L35" s="188" t="s">
        <v>401</v>
      </c>
      <c r="M35" s="189" t="s">
        <v>295</v>
      </c>
      <c r="N35" s="189" t="s">
        <v>121</v>
      </c>
      <c r="O35" s="190" t="s">
        <v>402</v>
      </c>
      <c r="P35" s="191" t="s">
        <v>403</v>
      </c>
    </row>
    <row r="36" spans="1:16" ht="13.5" thickBot="1">
      <c r="A36" s="88" t="str">
        <f t="shared" si="0"/>
        <v>OEJV 0160 </v>
      </c>
      <c r="B36" s="4" t="str">
        <f t="shared" si="1"/>
        <v>I</v>
      </c>
      <c r="C36" s="88">
        <f t="shared" si="2"/>
        <v>56067.413800000002</v>
      </c>
      <c r="D36" t="str">
        <f t="shared" si="3"/>
        <v>vis</v>
      </c>
      <c r="E36" s="187">
        <f>VLOOKUP(C36,'Active 1'!C$21:E$967,3,FALSE)</f>
        <v>31482.394655448981</v>
      </c>
      <c r="F36" s="4" t="s">
        <v>121</v>
      </c>
      <c r="G36" t="str">
        <f t="shared" si="4"/>
        <v>56067.4138</v>
      </c>
      <c r="H36" s="88">
        <f t="shared" si="5"/>
        <v>31479</v>
      </c>
      <c r="I36" s="188" t="s">
        <v>414</v>
      </c>
      <c r="J36" s="189" t="s">
        <v>415</v>
      </c>
      <c r="K36" s="188" t="s">
        <v>416</v>
      </c>
      <c r="L36" s="188" t="s">
        <v>417</v>
      </c>
      <c r="M36" s="189" t="s">
        <v>295</v>
      </c>
      <c r="N36" s="189" t="s">
        <v>58</v>
      </c>
      <c r="O36" s="190" t="s">
        <v>418</v>
      </c>
      <c r="P36" s="191" t="s">
        <v>419</v>
      </c>
    </row>
    <row r="37" spans="1:16" ht="13.5" thickBot="1">
      <c r="A37" s="88" t="str">
        <f t="shared" si="0"/>
        <v>OEJV 0160 </v>
      </c>
      <c r="B37" s="4" t="str">
        <f t="shared" si="1"/>
        <v>I</v>
      </c>
      <c r="C37" s="88">
        <f t="shared" si="2"/>
        <v>56067.413860000001</v>
      </c>
      <c r="D37" t="str">
        <f t="shared" si="3"/>
        <v>vis</v>
      </c>
      <c r="E37" s="187">
        <f>VLOOKUP(C37,'Active 1'!C$21:E$967,3,FALSE)</f>
        <v>31482.39482292606</v>
      </c>
      <c r="F37" s="4" t="s">
        <v>121</v>
      </c>
      <c r="G37" t="str">
        <f t="shared" si="4"/>
        <v>56067.41386</v>
      </c>
      <c r="H37" s="88">
        <f t="shared" si="5"/>
        <v>31479</v>
      </c>
      <c r="I37" s="188" t="s">
        <v>420</v>
      </c>
      <c r="J37" s="189" t="s">
        <v>415</v>
      </c>
      <c r="K37" s="188" t="s">
        <v>416</v>
      </c>
      <c r="L37" s="188" t="s">
        <v>421</v>
      </c>
      <c r="M37" s="189" t="s">
        <v>295</v>
      </c>
      <c r="N37" s="189" t="s">
        <v>121</v>
      </c>
      <c r="O37" s="190" t="s">
        <v>418</v>
      </c>
      <c r="P37" s="191" t="s">
        <v>419</v>
      </c>
    </row>
    <row r="38" spans="1:16" ht="13.5" thickBot="1">
      <c r="A38" s="88" t="str">
        <f t="shared" si="0"/>
        <v>OEJV 0160 </v>
      </c>
      <c r="B38" s="4" t="str">
        <f t="shared" si="1"/>
        <v>I</v>
      </c>
      <c r="C38" s="88">
        <f t="shared" si="2"/>
        <v>56067.414049999999</v>
      </c>
      <c r="D38" t="str">
        <f t="shared" si="3"/>
        <v>vis</v>
      </c>
      <c r="E38" s="187">
        <f>VLOOKUP(C38,'Active 1'!C$21:E$967,3,FALSE)</f>
        <v>31482.395353270156</v>
      </c>
      <c r="F38" s="4" t="s">
        <v>121</v>
      </c>
      <c r="G38" t="str">
        <f t="shared" si="4"/>
        <v>56067.41405</v>
      </c>
      <c r="H38" s="88">
        <f t="shared" si="5"/>
        <v>31479</v>
      </c>
      <c r="I38" s="188" t="s">
        <v>422</v>
      </c>
      <c r="J38" s="189" t="s">
        <v>423</v>
      </c>
      <c r="K38" s="188" t="s">
        <v>416</v>
      </c>
      <c r="L38" s="188" t="s">
        <v>424</v>
      </c>
      <c r="M38" s="189" t="s">
        <v>295</v>
      </c>
      <c r="N38" s="189" t="s">
        <v>101</v>
      </c>
      <c r="O38" s="190" t="s">
        <v>418</v>
      </c>
      <c r="P38" s="191" t="s">
        <v>419</v>
      </c>
    </row>
    <row r="39" spans="1:16" ht="13.5" thickBot="1">
      <c r="A39" s="88" t="str">
        <f t="shared" si="0"/>
        <v>OEJV 0160 </v>
      </c>
      <c r="B39" s="4" t="str">
        <f t="shared" si="1"/>
        <v>I</v>
      </c>
      <c r="C39" s="88">
        <f t="shared" si="2"/>
        <v>56067.414640000003</v>
      </c>
      <c r="D39" t="str">
        <f t="shared" si="3"/>
        <v>vis</v>
      </c>
      <c r="E39" s="187">
        <f>VLOOKUP(C39,'Active 1'!C$21:E$967,3,FALSE)</f>
        <v>31482.397000128152</v>
      </c>
      <c r="F39" s="4" t="s">
        <v>121</v>
      </c>
      <c r="G39" t="str">
        <f t="shared" si="4"/>
        <v>56067.41464</v>
      </c>
      <c r="H39" s="88">
        <f t="shared" si="5"/>
        <v>31479</v>
      </c>
      <c r="I39" s="188" t="s">
        <v>425</v>
      </c>
      <c r="J39" s="189" t="s">
        <v>426</v>
      </c>
      <c r="K39" s="188" t="s">
        <v>416</v>
      </c>
      <c r="L39" s="188" t="s">
        <v>427</v>
      </c>
      <c r="M39" s="189" t="s">
        <v>295</v>
      </c>
      <c r="N39" s="189" t="s">
        <v>39</v>
      </c>
      <c r="O39" s="190" t="s">
        <v>418</v>
      </c>
      <c r="P39" s="191" t="s">
        <v>419</v>
      </c>
    </row>
    <row r="40" spans="1:16" ht="13.5" thickBot="1">
      <c r="A40" s="88" t="str">
        <f t="shared" si="0"/>
        <v>IBVS 2035 </v>
      </c>
      <c r="B40" s="4" t="str">
        <f t="shared" si="1"/>
        <v>II</v>
      </c>
      <c r="C40" s="88">
        <f t="shared" si="2"/>
        <v>44366.733899999999</v>
      </c>
      <c r="D40" t="str">
        <f t="shared" si="3"/>
        <v>vis</v>
      </c>
      <c r="E40" s="187" t="e">
        <f>VLOOKUP(C40,'Active 1'!C$21:E$967,3,FALSE)</f>
        <v>#N/A</v>
      </c>
      <c r="F40" s="4" t="s">
        <v>121</v>
      </c>
      <c r="G40" t="str">
        <f t="shared" si="4"/>
        <v>44366.7339</v>
      </c>
      <c r="H40" s="88">
        <f t="shared" si="5"/>
        <v>-1177.5</v>
      </c>
      <c r="I40" s="188" t="s">
        <v>257</v>
      </c>
      <c r="J40" s="189" t="s">
        <v>258</v>
      </c>
      <c r="K40" s="188">
        <v>-1177.5</v>
      </c>
      <c r="L40" s="188" t="s">
        <v>259</v>
      </c>
      <c r="M40" s="189" t="s">
        <v>260</v>
      </c>
      <c r="N40" s="189" t="s">
        <v>261</v>
      </c>
      <c r="O40" s="190" t="s">
        <v>262</v>
      </c>
      <c r="P40" s="191" t="s">
        <v>263</v>
      </c>
    </row>
    <row r="41" spans="1:16" ht="13.5" thickBot="1">
      <c r="A41" s="88" t="str">
        <f t="shared" si="0"/>
        <v>IBVS 2035 </v>
      </c>
      <c r="B41" s="4" t="str">
        <f t="shared" si="1"/>
        <v>II</v>
      </c>
      <c r="C41" s="88">
        <f t="shared" si="2"/>
        <v>44408.650900000001</v>
      </c>
      <c r="D41" t="str">
        <f t="shared" si="3"/>
        <v>vis</v>
      </c>
      <c r="E41" s="187" t="e">
        <f>VLOOKUP(C41,'Active 1'!C$21:E$967,3,FALSE)</f>
        <v>#N/A</v>
      </c>
      <c r="F41" s="4" t="s">
        <v>121</v>
      </c>
      <c r="G41" t="str">
        <f t="shared" si="4"/>
        <v>44408.6509</v>
      </c>
      <c r="H41" s="88">
        <f t="shared" si="5"/>
        <v>-1060.5</v>
      </c>
      <c r="I41" s="188" t="s">
        <v>264</v>
      </c>
      <c r="J41" s="189" t="s">
        <v>265</v>
      </c>
      <c r="K41" s="188">
        <v>-1060.5</v>
      </c>
      <c r="L41" s="188" t="s">
        <v>266</v>
      </c>
      <c r="M41" s="189" t="s">
        <v>260</v>
      </c>
      <c r="N41" s="189" t="s">
        <v>261</v>
      </c>
      <c r="O41" s="190" t="s">
        <v>262</v>
      </c>
      <c r="P41" s="191" t="s">
        <v>263</v>
      </c>
    </row>
    <row r="42" spans="1:16" ht="13.5" thickBot="1">
      <c r="A42" s="88" t="str">
        <f t="shared" si="0"/>
        <v>IBVS 2035 </v>
      </c>
      <c r="B42" s="4" t="str">
        <f t="shared" si="1"/>
        <v>II</v>
      </c>
      <c r="C42" s="88">
        <f t="shared" si="2"/>
        <v>44698.844799999999</v>
      </c>
      <c r="D42" t="str">
        <f t="shared" si="3"/>
        <v>vis</v>
      </c>
      <c r="E42" s="187" t="e">
        <f>VLOOKUP(C42,'Active 1'!C$21:E$967,3,FALSE)</f>
        <v>#N/A</v>
      </c>
      <c r="F42" s="4" t="s">
        <v>121</v>
      </c>
      <c r="G42" t="str">
        <f t="shared" si="4"/>
        <v>44698.8448</v>
      </c>
      <c r="H42" s="88">
        <f t="shared" si="5"/>
        <v>-250.5</v>
      </c>
      <c r="I42" s="188" t="s">
        <v>267</v>
      </c>
      <c r="J42" s="189" t="s">
        <v>268</v>
      </c>
      <c r="K42" s="188">
        <v>-250.5</v>
      </c>
      <c r="L42" s="188" t="s">
        <v>269</v>
      </c>
      <c r="M42" s="189" t="s">
        <v>260</v>
      </c>
      <c r="N42" s="189" t="s">
        <v>261</v>
      </c>
      <c r="O42" s="190" t="s">
        <v>262</v>
      </c>
      <c r="P42" s="191" t="s">
        <v>263</v>
      </c>
    </row>
    <row r="43" spans="1:16" ht="13.5" thickBot="1">
      <c r="A43" s="88" t="str">
        <f t="shared" ref="A43:A63" si="6">P43</f>
        <v>IBVS 2035 </v>
      </c>
      <c r="B43" s="4" t="str">
        <f t="shared" ref="B43:B63" si="7">IF(H43=INT(H43),"I","II")</f>
        <v>I</v>
      </c>
      <c r="C43" s="88">
        <f t="shared" ref="C43:C63" si="8">1*G43</f>
        <v>44787.515399999997</v>
      </c>
      <c r="D43" t="str">
        <f t="shared" ref="D43:D63" si="9">VLOOKUP(F43,I$1:J$5,2,FALSE)</f>
        <v>vis</v>
      </c>
      <c r="E43" s="187" t="e">
        <f>VLOOKUP(C43,'Active 1'!C$21:E$967,3,FALSE)</f>
        <v>#N/A</v>
      </c>
      <c r="F43" s="4" t="s">
        <v>121</v>
      </c>
      <c r="G43" t="str">
        <f t="shared" ref="G43:G63" si="10">MID(I43,3,LEN(I43)-3)</f>
        <v>44787.5154</v>
      </c>
      <c r="H43" s="88">
        <f t="shared" ref="H43:H63" si="11">1*K43</f>
        <v>-3</v>
      </c>
      <c r="I43" s="188" t="s">
        <v>270</v>
      </c>
      <c r="J43" s="189" t="s">
        <v>271</v>
      </c>
      <c r="K43" s="188">
        <v>-3</v>
      </c>
      <c r="L43" s="188" t="s">
        <v>272</v>
      </c>
      <c r="M43" s="189" t="s">
        <v>260</v>
      </c>
      <c r="N43" s="189" t="s">
        <v>261</v>
      </c>
      <c r="O43" s="190" t="s">
        <v>262</v>
      </c>
      <c r="P43" s="191" t="s">
        <v>263</v>
      </c>
    </row>
    <row r="44" spans="1:16" ht="13.5" thickBot="1">
      <c r="A44" s="88" t="str">
        <f t="shared" si="6"/>
        <v>IBVS 2035 </v>
      </c>
      <c r="B44" s="4" t="str">
        <f t="shared" si="7"/>
        <v>I</v>
      </c>
      <c r="C44" s="88">
        <f t="shared" si="8"/>
        <v>44788.590100000001</v>
      </c>
      <c r="D44" t="str">
        <f t="shared" si="9"/>
        <v>vis</v>
      </c>
      <c r="E44" s="187" t="e">
        <f>VLOOKUP(C44,'Active 1'!C$21:E$967,3,FALSE)</f>
        <v>#N/A</v>
      </c>
      <c r="F44" s="4" t="s">
        <v>121</v>
      </c>
      <c r="G44" t="str">
        <f t="shared" si="10"/>
        <v>44788.5901</v>
      </c>
      <c r="H44" s="88">
        <f t="shared" si="11"/>
        <v>0</v>
      </c>
      <c r="I44" s="188" t="s">
        <v>273</v>
      </c>
      <c r="J44" s="189" t="s">
        <v>274</v>
      </c>
      <c r="K44" s="188">
        <v>0</v>
      </c>
      <c r="L44" s="188" t="s">
        <v>275</v>
      </c>
      <c r="M44" s="189" t="s">
        <v>260</v>
      </c>
      <c r="N44" s="189" t="s">
        <v>261</v>
      </c>
      <c r="O44" s="190" t="s">
        <v>262</v>
      </c>
      <c r="P44" s="191" t="s">
        <v>263</v>
      </c>
    </row>
    <row r="45" spans="1:16" ht="13.5" thickBot="1">
      <c r="A45" s="88" t="str">
        <f t="shared" si="6"/>
        <v>IBVS 2035 </v>
      </c>
      <c r="B45" s="4" t="str">
        <f t="shared" si="7"/>
        <v>I</v>
      </c>
      <c r="C45" s="88">
        <f t="shared" si="8"/>
        <v>44789.665399999998</v>
      </c>
      <c r="D45" t="str">
        <f t="shared" si="9"/>
        <v>vis</v>
      </c>
      <c r="E45" s="187" t="e">
        <f>VLOOKUP(C45,'Active 1'!C$21:E$967,3,FALSE)</f>
        <v>#N/A</v>
      </c>
      <c r="F45" s="4" t="s">
        <v>121</v>
      </c>
      <c r="G45" t="str">
        <f t="shared" si="10"/>
        <v>44789.6654</v>
      </c>
      <c r="H45" s="88">
        <f t="shared" si="11"/>
        <v>3</v>
      </c>
      <c r="I45" s="188" t="s">
        <v>276</v>
      </c>
      <c r="J45" s="189" t="s">
        <v>277</v>
      </c>
      <c r="K45" s="188">
        <v>3</v>
      </c>
      <c r="L45" s="188" t="s">
        <v>278</v>
      </c>
      <c r="M45" s="189" t="s">
        <v>260</v>
      </c>
      <c r="N45" s="189" t="s">
        <v>261</v>
      </c>
      <c r="O45" s="190" t="s">
        <v>262</v>
      </c>
      <c r="P45" s="191" t="s">
        <v>263</v>
      </c>
    </row>
    <row r="46" spans="1:16" ht="13.5" thickBot="1">
      <c r="A46" s="88" t="str">
        <f t="shared" si="6"/>
        <v>IBVS 2035 </v>
      </c>
      <c r="B46" s="4" t="str">
        <f t="shared" si="7"/>
        <v>II</v>
      </c>
      <c r="C46" s="88">
        <f t="shared" si="8"/>
        <v>44790.560799999999</v>
      </c>
      <c r="D46" t="str">
        <f t="shared" si="9"/>
        <v>vis</v>
      </c>
      <c r="E46" s="187" t="e">
        <f>VLOOKUP(C46,'Active 1'!C$21:E$967,3,FALSE)</f>
        <v>#N/A</v>
      </c>
      <c r="F46" s="4" t="s">
        <v>121</v>
      </c>
      <c r="G46" t="str">
        <f t="shared" si="10"/>
        <v>44790.5608</v>
      </c>
      <c r="H46" s="88">
        <f t="shared" si="11"/>
        <v>5.5</v>
      </c>
      <c r="I46" s="188" t="s">
        <v>279</v>
      </c>
      <c r="J46" s="189" t="s">
        <v>280</v>
      </c>
      <c r="K46" s="188">
        <v>5.5</v>
      </c>
      <c r="L46" s="188" t="s">
        <v>281</v>
      </c>
      <c r="M46" s="189" t="s">
        <v>260</v>
      </c>
      <c r="N46" s="189" t="s">
        <v>261</v>
      </c>
      <c r="O46" s="190" t="s">
        <v>262</v>
      </c>
      <c r="P46" s="191" t="s">
        <v>263</v>
      </c>
    </row>
    <row r="47" spans="1:16" ht="13.5" thickBot="1">
      <c r="A47" s="88" t="str">
        <f t="shared" si="6"/>
        <v>VSB 47 </v>
      </c>
      <c r="B47" s="4" t="str">
        <f t="shared" si="7"/>
        <v>I</v>
      </c>
      <c r="C47" s="88">
        <f t="shared" si="8"/>
        <v>51306.023000000001</v>
      </c>
      <c r="D47" t="str">
        <f t="shared" si="9"/>
        <v>vis</v>
      </c>
      <c r="E47" s="187">
        <f>VLOOKUP(C47,'Active 1'!C$21:E$967,3,FALSE)</f>
        <v>18191.997235958213</v>
      </c>
      <c r="F47" s="4" t="s">
        <v>121</v>
      </c>
      <c r="G47" t="str">
        <f t="shared" si="10"/>
        <v>51306.023</v>
      </c>
      <c r="H47" s="88">
        <f t="shared" si="11"/>
        <v>18189</v>
      </c>
      <c r="I47" s="188" t="s">
        <v>292</v>
      </c>
      <c r="J47" s="189" t="s">
        <v>293</v>
      </c>
      <c r="K47" s="188">
        <v>18189</v>
      </c>
      <c r="L47" s="188" t="s">
        <v>294</v>
      </c>
      <c r="M47" s="189" t="s">
        <v>295</v>
      </c>
      <c r="N47" s="189" t="s">
        <v>296</v>
      </c>
      <c r="O47" s="190" t="s">
        <v>297</v>
      </c>
      <c r="P47" s="191" t="s">
        <v>298</v>
      </c>
    </row>
    <row r="48" spans="1:16" ht="13.5" thickBot="1">
      <c r="A48" s="88" t="str">
        <f t="shared" si="6"/>
        <v>VSB 47 </v>
      </c>
      <c r="B48" s="4" t="str">
        <f t="shared" si="7"/>
        <v>I</v>
      </c>
      <c r="C48" s="88">
        <f t="shared" si="8"/>
        <v>51311.042999999998</v>
      </c>
      <c r="D48" t="str">
        <f t="shared" si="9"/>
        <v>vis</v>
      </c>
      <c r="E48" s="187">
        <f>VLOOKUP(C48,'Active 1'!C$21:E$967,3,FALSE)</f>
        <v>18206.009485287927</v>
      </c>
      <c r="F48" s="4" t="s">
        <v>121</v>
      </c>
      <c r="G48" t="str">
        <f t="shared" si="10"/>
        <v>51311.043</v>
      </c>
      <c r="H48" s="88">
        <f t="shared" si="11"/>
        <v>18203</v>
      </c>
      <c r="I48" s="188" t="s">
        <v>299</v>
      </c>
      <c r="J48" s="189" t="s">
        <v>300</v>
      </c>
      <c r="K48" s="188">
        <v>18203</v>
      </c>
      <c r="L48" s="188" t="s">
        <v>301</v>
      </c>
      <c r="M48" s="189" t="s">
        <v>295</v>
      </c>
      <c r="N48" s="189" t="s">
        <v>121</v>
      </c>
      <c r="O48" s="190" t="s">
        <v>302</v>
      </c>
      <c r="P48" s="191" t="s">
        <v>298</v>
      </c>
    </row>
    <row r="49" spans="1:16" ht="13.5" thickBot="1">
      <c r="A49" s="88" t="str">
        <f t="shared" si="6"/>
        <v>VSB 47 </v>
      </c>
      <c r="B49" s="4" t="str">
        <f t="shared" si="7"/>
        <v>I</v>
      </c>
      <c r="C49" s="88">
        <f t="shared" si="8"/>
        <v>51316.063999999998</v>
      </c>
      <c r="D49" t="str">
        <f t="shared" si="9"/>
        <v>vis</v>
      </c>
      <c r="E49" s="187">
        <f>VLOOKUP(C49,'Active 1'!C$21:E$967,3,FALSE)</f>
        <v>18220.024525902376</v>
      </c>
      <c r="F49" s="4" t="s">
        <v>121</v>
      </c>
      <c r="G49" t="str">
        <f t="shared" si="10"/>
        <v>51316.064</v>
      </c>
      <c r="H49" s="88">
        <f t="shared" si="11"/>
        <v>18217</v>
      </c>
      <c r="I49" s="188" t="s">
        <v>303</v>
      </c>
      <c r="J49" s="189" t="s">
        <v>304</v>
      </c>
      <c r="K49" s="188">
        <v>18217</v>
      </c>
      <c r="L49" s="188" t="s">
        <v>305</v>
      </c>
      <c r="M49" s="189" t="s">
        <v>295</v>
      </c>
      <c r="N49" s="189" t="s">
        <v>121</v>
      </c>
      <c r="O49" s="190" t="s">
        <v>302</v>
      </c>
      <c r="P49" s="191" t="s">
        <v>298</v>
      </c>
    </row>
    <row r="50" spans="1:16" ht="13.5" thickBot="1">
      <c r="A50" s="88" t="str">
        <f t="shared" si="6"/>
        <v>VSB 47 </v>
      </c>
      <c r="B50" s="4" t="str">
        <f t="shared" si="7"/>
        <v>I</v>
      </c>
      <c r="C50" s="88">
        <f t="shared" si="8"/>
        <v>51331.101000000002</v>
      </c>
      <c r="D50" t="str">
        <f t="shared" si="9"/>
        <v>vis</v>
      </c>
      <c r="E50" s="187">
        <f>VLOOKUP(C50,'Active 1'!C$21:E$967,3,FALSE)</f>
        <v>18261.997074342831</v>
      </c>
      <c r="F50" s="4" t="s">
        <v>121</v>
      </c>
      <c r="G50" t="str">
        <f t="shared" si="10"/>
        <v>51331.101</v>
      </c>
      <c r="H50" s="88">
        <f t="shared" si="11"/>
        <v>18259</v>
      </c>
      <c r="I50" s="188" t="s">
        <v>306</v>
      </c>
      <c r="J50" s="189" t="s">
        <v>307</v>
      </c>
      <c r="K50" s="188">
        <v>18259</v>
      </c>
      <c r="L50" s="188" t="s">
        <v>294</v>
      </c>
      <c r="M50" s="189" t="s">
        <v>295</v>
      </c>
      <c r="N50" s="189" t="s">
        <v>308</v>
      </c>
      <c r="O50" s="190" t="s">
        <v>297</v>
      </c>
      <c r="P50" s="191" t="s">
        <v>298</v>
      </c>
    </row>
    <row r="51" spans="1:16" ht="13.5" thickBot="1">
      <c r="A51" s="88" t="str">
        <f t="shared" si="6"/>
        <v>VSB 42 </v>
      </c>
      <c r="B51" s="4" t="str">
        <f t="shared" si="7"/>
        <v>I</v>
      </c>
      <c r="C51" s="88">
        <f t="shared" si="8"/>
        <v>52761.080600000001</v>
      </c>
      <c r="D51" t="str">
        <f t="shared" si="9"/>
        <v>vis</v>
      </c>
      <c r="E51" s="187">
        <f>VLOOKUP(C51,'Active 1'!C$21:E$967,3,FALSE)</f>
        <v>22253.477291796189</v>
      </c>
      <c r="F51" s="4" t="s">
        <v>121</v>
      </c>
      <c r="G51" t="str">
        <f t="shared" si="10"/>
        <v>52761.0806</v>
      </c>
      <c r="H51" s="88">
        <f t="shared" si="11"/>
        <v>22250</v>
      </c>
      <c r="I51" s="188" t="s">
        <v>309</v>
      </c>
      <c r="J51" s="189" t="s">
        <v>310</v>
      </c>
      <c r="K51" s="188">
        <v>22250</v>
      </c>
      <c r="L51" s="188" t="s">
        <v>311</v>
      </c>
      <c r="M51" s="189" t="s">
        <v>260</v>
      </c>
      <c r="N51" s="189" t="s">
        <v>261</v>
      </c>
      <c r="O51" s="190" t="s">
        <v>302</v>
      </c>
      <c r="P51" s="191" t="s">
        <v>312</v>
      </c>
    </row>
    <row r="52" spans="1:16" ht="13.5" thickBot="1">
      <c r="A52" s="88" t="str">
        <f t="shared" si="6"/>
        <v>VSB 42 </v>
      </c>
      <c r="B52" s="4" t="str">
        <f t="shared" si="7"/>
        <v>II</v>
      </c>
      <c r="C52" s="88">
        <f t="shared" si="8"/>
        <v>52763.05</v>
      </c>
      <c r="D52" t="str">
        <f t="shared" si="9"/>
        <v>vis</v>
      </c>
      <c r="E52" s="187">
        <f>VLOOKUP(C52,'Active 1'!C$21:E$967,3,FALSE)</f>
        <v>22258.97444793762</v>
      </c>
      <c r="F52" s="4" t="s">
        <v>121</v>
      </c>
      <c r="G52" t="str">
        <f t="shared" si="10"/>
        <v>52763.0500</v>
      </c>
      <c r="H52" s="88">
        <f t="shared" si="11"/>
        <v>22255.5</v>
      </c>
      <c r="I52" s="188" t="s">
        <v>313</v>
      </c>
      <c r="J52" s="189" t="s">
        <v>314</v>
      </c>
      <c r="K52" s="188">
        <v>22255.5</v>
      </c>
      <c r="L52" s="188" t="s">
        <v>315</v>
      </c>
      <c r="M52" s="189" t="s">
        <v>260</v>
      </c>
      <c r="N52" s="189" t="s">
        <v>261</v>
      </c>
      <c r="O52" s="190" t="s">
        <v>302</v>
      </c>
      <c r="P52" s="191" t="s">
        <v>312</v>
      </c>
    </row>
    <row r="53" spans="1:16" ht="13.5" thickBot="1">
      <c r="A53" s="88" t="str">
        <f t="shared" si="6"/>
        <v>VSB 45 </v>
      </c>
      <c r="B53" s="4" t="str">
        <f t="shared" si="7"/>
        <v>II</v>
      </c>
      <c r="C53" s="88">
        <f t="shared" si="8"/>
        <v>53858.241399999999</v>
      </c>
      <c r="D53" t="str">
        <f t="shared" si="9"/>
        <v>vis</v>
      </c>
      <c r="E53" s="187">
        <f>VLOOKUP(C53,'Active 1'!C$21:E$967,3,FALSE)</f>
        <v>25315.965475939021</v>
      </c>
      <c r="F53" s="4" t="s">
        <v>121</v>
      </c>
      <c r="G53" t="str">
        <f t="shared" si="10"/>
        <v>53858.2414</v>
      </c>
      <c r="H53" s="88">
        <f t="shared" si="11"/>
        <v>25312.5</v>
      </c>
      <c r="I53" s="188" t="s">
        <v>352</v>
      </c>
      <c r="J53" s="189" t="s">
        <v>353</v>
      </c>
      <c r="K53" s="188" t="s">
        <v>354</v>
      </c>
      <c r="L53" s="188" t="s">
        <v>355</v>
      </c>
      <c r="M53" s="189" t="s">
        <v>260</v>
      </c>
      <c r="N53" s="189" t="s">
        <v>261</v>
      </c>
      <c r="O53" s="190" t="s">
        <v>356</v>
      </c>
      <c r="P53" s="191" t="s">
        <v>357</v>
      </c>
    </row>
    <row r="54" spans="1:16" ht="13.5" thickBot="1">
      <c r="A54" s="88" t="str">
        <f t="shared" si="6"/>
        <v>VSB 45 </v>
      </c>
      <c r="B54" s="4" t="str">
        <f t="shared" si="7"/>
        <v>II</v>
      </c>
      <c r="C54" s="88">
        <f t="shared" si="8"/>
        <v>53860.0311</v>
      </c>
      <c r="D54" t="str">
        <f t="shared" si="9"/>
        <v>vis</v>
      </c>
      <c r="E54" s="187">
        <f>VLOOKUP(C54,'Active 1'!C$21:E$967,3,FALSE)</f>
        <v>25320.961038215002</v>
      </c>
      <c r="F54" s="4" t="s">
        <v>121</v>
      </c>
      <c r="G54" t="str">
        <f t="shared" si="10"/>
        <v>53860.0311</v>
      </c>
      <c r="H54" s="88">
        <f t="shared" si="11"/>
        <v>25317.5</v>
      </c>
      <c r="I54" s="188" t="s">
        <v>358</v>
      </c>
      <c r="J54" s="189" t="s">
        <v>359</v>
      </c>
      <c r="K54" s="188" t="s">
        <v>360</v>
      </c>
      <c r="L54" s="188" t="s">
        <v>361</v>
      </c>
      <c r="M54" s="189" t="s">
        <v>260</v>
      </c>
      <c r="N54" s="189" t="s">
        <v>261</v>
      </c>
      <c r="O54" s="190" t="s">
        <v>356</v>
      </c>
      <c r="P54" s="191" t="s">
        <v>357</v>
      </c>
    </row>
    <row r="55" spans="1:16" ht="13.5" thickBot="1">
      <c r="A55" s="88" t="str">
        <f t="shared" si="6"/>
        <v>VSB 48 </v>
      </c>
      <c r="B55" s="4" t="str">
        <f t="shared" si="7"/>
        <v>II</v>
      </c>
      <c r="C55" s="88">
        <f t="shared" si="8"/>
        <v>54571.160100000001</v>
      </c>
      <c r="D55" t="str">
        <f t="shared" si="9"/>
        <v>vis</v>
      </c>
      <c r="E55" s="187">
        <f>VLOOKUP(C55,'Active 1'!C$21:E$967,3,FALSE)</f>
        <v>27305.924554867546</v>
      </c>
      <c r="F55" s="4" t="s">
        <v>121</v>
      </c>
      <c r="G55" t="str">
        <f t="shared" si="10"/>
        <v>54571.1601</v>
      </c>
      <c r="H55" s="88">
        <f t="shared" si="11"/>
        <v>27302.5</v>
      </c>
      <c r="I55" s="188" t="s">
        <v>362</v>
      </c>
      <c r="J55" s="189" t="s">
        <v>363</v>
      </c>
      <c r="K55" s="188" t="s">
        <v>364</v>
      </c>
      <c r="L55" s="188" t="s">
        <v>365</v>
      </c>
      <c r="M55" s="189" t="s">
        <v>295</v>
      </c>
      <c r="N55" s="189" t="s">
        <v>366</v>
      </c>
      <c r="O55" s="190" t="s">
        <v>367</v>
      </c>
      <c r="P55" s="191" t="s">
        <v>368</v>
      </c>
    </row>
    <row r="56" spans="1:16" ht="13.5" thickBot="1">
      <c r="A56" s="88" t="str">
        <f t="shared" si="6"/>
        <v>IBVS 5917 </v>
      </c>
      <c r="B56" s="4" t="str">
        <f t="shared" si="7"/>
        <v>I</v>
      </c>
      <c r="C56" s="88">
        <f t="shared" si="8"/>
        <v>54667.353000000003</v>
      </c>
      <c r="D56" t="str">
        <f t="shared" si="9"/>
        <v>vis</v>
      </c>
      <c r="E56" s="187" t="e">
        <f>VLOOKUP(C56,'Active 1'!C$21:E$967,3,FALSE)</f>
        <v>#N/A</v>
      </c>
      <c r="F56" s="4" t="s">
        <v>121</v>
      </c>
      <c r="G56" t="str">
        <f t="shared" si="10"/>
        <v>54667.353</v>
      </c>
      <c r="H56" s="88">
        <f t="shared" si="11"/>
        <v>27571</v>
      </c>
      <c r="I56" s="188" t="s">
        <v>375</v>
      </c>
      <c r="J56" s="189" t="s">
        <v>376</v>
      </c>
      <c r="K56" s="188" t="s">
        <v>371</v>
      </c>
      <c r="L56" s="188" t="s">
        <v>377</v>
      </c>
      <c r="M56" s="189" t="s">
        <v>295</v>
      </c>
      <c r="N56" s="189" t="s">
        <v>296</v>
      </c>
      <c r="O56" s="190" t="s">
        <v>378</v>
      </c>
      <c r="P56" s="191" t="s">
        <v>379</v>
      </c>
    </row>
    <row r="57" spans="1:16" ht="13.5" thickBot="1">
      <c r="A57" s="88" t="str">
        <f t="shared" si="6"/>
        <v>VSB 50 </v>
      </c>
      <c r="B57" s="4" t="str">
        <f t="shared" si="7"/>
        <v>I</v>
      </c>
      <c r="C57" s="88">
        <f t="shared" si="8"/>
        <v>54920.283100000001</v>
      </c>
      <c r="D57" t="str">
        <f t="shared" si="9"/>
        <v>vis</v>
      </c>
      <c r="E57" s="187">
        <f>VLOOKUP(C57,'Active 1'!C$21:E$967,3,FALSE)</f>
        <v>28280.426252624609</v>
      </c>
      <c r="F57" s="4" t="s">
        <v>121</v>
      </c>
      <c r="G57" t="str">
        <f t="shared" si="10"/>
        <v>54920.2831</v>
      </c>
      <c r="H57" s="88">
        <f t="shared" si="11"/>
        <v>28277</v>
      </c>
      <c r="I57" s="188" t="s">
        <v>380</v>
      </c>
      <c r="J57" s="189" t="s">
        <v>381</v>
      </c>
      <c r="K57" s="188" t="s">
        <v>382</v>
      </c>
      <c r="L57" s="188" t="s">
        <v>383</v>
      </c>
      <c r="M57" s="189" t="s">
        <v>295</v>
      </c>
      <c r="N57" s="189" t="s">
        <v>121</v>
      </c>
      <c r="O57" s="190" t="s">
        <v>367</v>
      </c>
      <c r="P57" s="191" t="s">
        <v>384</v>
      </c>
    </row>
    <row r="58" spans="1:16" ht="13.5" thickBot="1">
      <c r="A58" s="88" t="str">
        <f t="shared" si="6"/>
        <v>VSB 50 </v>
      </c>
      <c r="B58" s="4" t="str">
        <f t="shared" si="7"/>
        <v>I</v>
      </c>
      <c r="C58" s="88">
        <f t="shared" si="8"/>
        <v>54951.092799999999</v>
      </c>
      <c r="D58" t="str">
        <f t="shared" si="9"/>
        <v>vis</v>
      </c>
      <c r="E58" s="187">
        <f>VLOOKUP(C58,'Active 1'!C$21:E$967,3,FALSE)</f>
        <v>28366.424897679171</v>
      </c>
      <c r="F58" s="4" t="s">
        <v>121</v>
      </c>
      <c r="G58" t="str">
        <f t="shared" si="10"/>
        <v>54951.0928</v>
      </c>
      <c r="H58" s="88">
        <f t="shared" si="11"/>
        <v>28363</v>
      </c>
      <c r="I58" s="188" t="s">
        <v>385</v>
      </c>
      <c r="J58" s="189" t="s">
        <v>386</v>
      </c>
      <c r="K58" s="188" t="s">
        <v>387</v>
      </c>
      <c r="L58" s="188" t="s">
        <v>388</v>
      </c>
      <c r="M58" s="189" t="s">
        <v>295</v>
      </c>
      <c r="N58" s="189" t="s">
        <v>366</v>
      </c>
      <c r="O58" s="190" t="s">
        <v>302</v>
      </c>
      <c r="P58" s="191" t="s">
        <v>384</v>
      </c>
    </row>
    <row r="59" spans="1:16" ht="13.5" thickBot="1">
      <c r="A59" s="88" t="str">
        <f t="shared" si="6"/>
        <v>VSB 51 </v>
      </c>
      <c r="B59" s="4" t="str">
        <f t="shared" si="7"/>
        <v>II</v>
      </c>
      <c r="C59" s="88">
        <f t="shared" si="8"/>
        <v>55318.118300000002</v>
      </c>
      <c r="D59" t="str">
        <f t="shared" si="9"/>
        <v>vis</v>
      </c>
      <c r="E59" s="187">
        <f>VLOOKUP(C59,'Active 1'!C$21:E$967,3,FALSE)</f>
        <v>29390.897570262012</v>
      </c>
      <c r="F59" s="4" t="s">
        <v>121</v>
      </c>
      <c r="G59" t="str">
        <f t="shared" si="10"/>
        <v>55318.1183</v>
      </c>
      <c r="H59" s="88">
        <f t="shared" si="11"/>
        <v>29387.5</v>
      </c>
      <c r="I59" s="188" t="s">
        <v>389</v>
      </c>
      <c r="J59" s="189" t="s">
        <v>390</v>
      </c>
      <c r="K59" s="188" t="s">
        <v>391</v>
      </c>
      <c r="L59" s="188" t="s">
        <v>392</v>
      </c>
      <c r="M59" s="189" t="s">
        <v>295</v>
      </c>
      <c r="N59" s="189" t="s">
        <v>366</v>
      </c>
      <c r="O59" s="190" t="s">
        <v>302</v>
      </c>
      <c r="P59" s="191" t="s">
        <v>393</v>
      </c>
    </row>
    <row r="60" spans="1:16" ht="13.5" thickBot="1">
      <c r="A60" s="88" t="str">
        <f t="shared" si="6"/>
        <v>VSB 51 </v>
      </c>
      <c r="B60" s="4" t="str">
        <f t="shared" si="7"/>
        <v>II</v>
      </c>
      <c r="C60" s="88">
        <f t="shared" si="8"/>
        <v>55350.003599999996</v>
      </c>
      <c r="D60" t="str">
        <f t="shared" si="9"/>
        <v>vis</v>
      </c>
      <c r="E60" s="187">
        <f>VLOOKUP(C60,'Active 1'!C$21:E$967,3,FALSE)</f>
        <v>29479.898521168965</v>
      </c>
      <c r="F60" s="4" t="s">
        <v>121</v>
      </c>
      <c r="G60" t="str">
        <f t="shared" si="10"/>
        <v>55350.0036</v>
      </c>
      <c r="H60" s="88">
        <f t="shared" si="11"/>
        <v>29476.5</v>
      </c>
      <c r="I60" s="188" t="s">
        <v>394</v>
      </c>
      <c r="J60" s="189" t="s">
        <v>395</v>
      </c>
      <c r="K60" s="188" t="s">
        <v>396</v>
      </c>
      <c r="L60" s="188" t="s">
        <v>397</v>
      </c>
      <c r="M60" s="189" t="s">
        <v>295</v>
      </c>
      <c r="N60" s="189" t="s">
        <v>366</v>
      </c>
      <c r="O60" s="190" t="s">
        <v>302</v>
      </c>
      <c r="P60" s="191" t="s">
        <v>393</v>
      </c>
    </row>
    <row r="61" spans="1:16" ht="13.5" thickBot="1">
      <c r="A61" s="88" t="str">
        <f t="shared" si="6"/>
        <v>IBVS 6029 </v>
      </c>
      <c r="B61" s="4" t="str">
        <f t="shared" si="7"/>
        <v>I</v>
      </c>
      <c r="C61" s="88">
        <f t="shared" si="8"/>
        <v>56016.900699999998</v>
      </c>
      <c r="D61" t="str">
        <f t="shared" si="9"/>
        <v>vis</v>
      </c>
      <c r="E61" s="187">
        <f>VLOOKUP(C61,'Active 1'!C$21:E$967,3,FALSE)</f>
        <v>31341.398210903717</v>
      </c>
      <c r="F61" s="4" t="s">
        <v>121</v>
      </c>
      <c r="G61" t="str">
        <f t="shared" si="10"/>
        <v>56016.9007</v>
      </c>
      <c r="H61" s="88">
        <f t="shared" si="11"/>
        <v>31338</v>
      </c>
      <c r="I61" s="188" t="s">
        <v>404</v>
      </c>
      <c r="J61" s="189" t="s">
        <v>405</v>
      </c>
      <c r="K61" s="188" t="s">
        <v>406</v>
      </c>
      <c r="L61" s="188" t="s">
        <v>407</v>
      </c>
      <c r="M61" s="189" t="s">
        <v>295</v>
      </c>
      <c r="N61" s="189" t="s">
        <v>121</v>
      </c>
      <c r="O61" s="190" t="s">
        <v>402</v>
      </c>
      <c r="P61" s="191" t="s">
        <v>408</v>
      </c>
    </row>
    <row r="62" spans="1:16" ht="13.5" thickBot="1">
      <c r="A62" s="88" t="str">
        <f t="shared" si="6"/>
        <v>VSB 55 </v>
      </c>
      <c r="B62" s="4" t="str">
        <f t="shared" si="7"/>
        <v>I</v>
      </c>
      <c r="C62" s="88">
        <f t="shared" si="8"/>
        <v>56053.082900000001</v>
      </c>
      <c r="D62" t="str">
        <f t="shared" si="9"/>
        <v>vis</v>
      </c>
      <c r="E62" s="187">
        <f>VLOOKUP(C62,'Active 1'!C$21:E$967,3,FALSE)</f>
        <v>31442.393033154294</v>
      </c>
      <c r="F62" s="4" t="s">
        <v>121</v>
      </c>
      <c r="G62" t="str">
        <f t="shared" si="10"/>
        <v>56053.0829</v>
      </c>
      <c r="H62" s="88">
        <f t="shared" si="11"/>
        <v>31439</v>
      </c>
      <c r="I62" s="188" t="s">
        <v>409</v>
      </c>
      <c r="J62" s="189" t="s">
        <v>410</v>
      </c>
      <c r="K62" s="188" t="s">
        <v>411</v>
      </c>
      <c r="L62" s="188" t="s">
        <v>412</v>
      </c>
      <c r="M62" s="189" t="s">
        <v>295</v>
      </c>
      <c r="N62" s="189" t="s">
        <v>366</v>
      </c>
      <c r="O62" s="190" t="s">
        <v>302</v>
      </c>
      <c r="P62" s="191" t="s">
        <v>413</v>
      </c>
    </row>
    <row r="63" spans="1:16" ht="13.5" thickBot="1">
      <c r="A63" s="88" t="str">
        <f t="shared" si="6"/>
        <v>IBVS 6029 </v>
      </c>
      <c r="B63" s="4" t="str">
        <f t="shared" si="7"/>
        <v>II</v>
      </c>
      <c r="C63" s="88">
        <f t="shared" si="8"/>
        <v>56093.743999999999</v>
      </c>
      <c r="D63" t="str">
        <f t="shared" si="9"/>
        <v>vis</v>
      </c>
      <c r="E63" s="187">
        <f>VLOOKUP(C63,'Active 1'!C$21:E$967,3,FALSE)</f>
        <v>31555.889740568782</v>
      </c>
      <c r="F63" s="4" t="s">
        <v>121</v>
      </c>
      <c r="G63" t="str">
        <f t="shared" si="10"/>
        <v>56093.7440</v>
      </c>
      <c r="H63" s="88">
        <f t="shared" si="11"/>
        <v>31552.5</v>
      </c>
      <c r="I63" s="188" t="s">
        <v>428</v>
      </c>
      <c r="J63" s="189" t="s">
        <v>429</v>
      </c>
      <c r="K63" s="188" t="s">
        <v>430</v>
      </c>
      <c r="L63" s="188" t="s">
        <v>431</v>
      </c>
      <c r="M63" s="189" t="s">
        <v>295</v>
      </c>
      <c r="N63" s="189" t="s">
        <v>121</v>
      </c>
      <c r="O63" s="190" t="s">
        <v>402</v>
      </c>
      <c r="P63" s="191" t="s">
        <v>408</v>
      </c>
    </row>
    <row r="64" spans="1:16" ht="13.5" thickBot="1">
      <c r="B64" s="4"/>
      <c r="F64" s="4"/>
      <c r="I64" s="188"/>
      <c r="J64" s="189"/>
      <c r="K64" s="188"/>
      <c r="L64" s="188"/>
      <c r="M64" s="189"/>
      <c r="N64" s="189"/>
      <c r="O64" s="190"/>
      <c r="P64" s="190"/>
    </row>
    <row r="65" spans="2:16" ht="13.5" thickBot="1">
      <c r="B65" s="4"/>
      <c r="F65" s="4"/>
      <c r="I65" s="188"/>
      <c r="J65" s="189"/>
      <c r="K65" s="188"/>
      <c r="L65" s="188"/>
      <c r="M65" s="189"/>
      <c r="N65" s="189"/>
      <c r="O65" s="190"/>
      <c r="P65" s="190"/>
    </row>
    <row r="66" spans="2:16" ht="13.5" thickBot="1">
      <c r="B66" s="4"/>
      <c r="F66" s="4"/>
      <c r="I66" s="188"/>
      <c r="J66" s="189"/>
      <c r="K66" s="188"/>
      <c r="L66" s="188"/>
      <c r="M66" s="189"/>
      <c r="N66" s="189"/>
      <c r="O66" s="190"/>
      <c r="P66" s="190"/>
    </row>
    <row r="67" spans="2:16" ht="13.5" thickBot="1">
      <c r="B67" s="4"/>
      <c r="F67" s="4"/>
      <c r="I67" s="188"/>
      <c r="J67" s="189"/>
      <c r="K67" s="188"/>
      <c r="L67" s="188"/>
      <c r="M67" s="189"/>
      <c r="N67" s="189"/>
      <c r="O67" s="190"/>
      <c r="P67" s="190"/>
    </row>
    <row r="68" spans="2:16" ht="13.5" thickBot="1">
      <c r="B68" s="4"/>
      <c r="F68" s="4"/>
      <c r="I68" s="188"/>
      <c r="J68" s="189"/>
      <c r="K68" s="188"/>
      <c r="L68" s="188"/>
      <c r="M68" s="189"/>
      <c r="N68" s="189"/>
      <c r="O68" s="190"/>
      <c r="P68" s="190"/>
    </row>
    <row r="69" spans="2:16" ht="13.5" thickBot="1">
      <c r="B69" s="4"/>
      <c r="F69" s="4"/>
      <c r="I69" s="188"/>
      <c r="J69" s="189"/>
      <c r="K69" s="188"/>
      <c r="L69" s="188"/>
      <c r="M69" s="189"/>
      <c r="N69" s="189"/>
      <c r="O69" s="190"/>
      <c r="P69" s="190"/>
    </row>
    <row r="70" spans="2:16" ht="13.5" thickBot="1">
      <c r="B70" s="4"/>
      <c r="F70" s="4"/>
      <c r="I70" s="188"/>
      <c r="J70" s="189"/>
      <c r="K70" s="188"/>
      <c r="L70" s="188"/>
      <c r="M70" s="189"/>
      <c r="N70" s="189"/>
      <c r="O70" s="190"/>
      <c r="P70" s="190"/>
    </row>
    <row r="71" spans="2:16" ht="13.5" thickBot="1">
      <c r="B71" s="4"/>
      <c r="F71" s="4"/>
      <c r="I71" s="188"/>
      <c r="J71" s="189"/>
      <c r="K71" s="188"/>
      <c r="L71" s="188"/>
      <c r="M71" s="189"/>
      <c r="N71" s="189"/>
      <c r="O71" s="190"/>
      <c r="P71" s="190"/>
    </row>
    <row r="72" spans="2:16" ht="13.5" thickBot="1">
      <c r="B72" s="4"/>
      <c r="F72" s="4"/>
      <c r="I72" s="188"/>
      <c r="J72" s="189"/>
      <c r="K72" s="188"/>
      <c r="L72" s="188"/>
      <c r="M72" s="189"/>
      <c r="N72" s="189"/>
      <c r="O72" s="190"/>
      <c r="P72" s="190"/>
    </row>
    <row r="73" spans="2:16" ht="13.5" thickBot="1">
      <c r="B73" s="4"/>
      <c r="F73" s="4"/>
      <c r="I73" s="188"/>
      <c r="J73" s="189"/>
      <c r="K73" s="188"/>
      <c r="L73" s="188"/>
      <c r="M73" s="189"/>
      <c r="N73" s="189"/>
      <c r="O73" s="190"/>
      <c r="P73" s="190"/>
    </row>
    <row r="74" spans="2:16" ht="13.5" thickBot="1">
      <c r="B74" s="4"/>
      <c r="F74" s="4"/>
      <c r="I74" s="188"/>
      <c r="J74" s="189"/>
      <c r="K74" s="188"/>
      <c r="L74" s="188"/>
      <c r="M74" s="189"/>
      <c r="N74" s="189"/>
      <c r="O74" s="190"/>
      <c r="P74" s="190"/>
    </row>
    <row r="75" spans="2:16" ht="13.5" thickBot="1">
      <c r="B75" s="4"/>
      <c r="F75" s="4"/>
      <c r="I75" s="188"/>
      <c r="J75" s="189"/>
      <c r="K75" s="188"/>
      <c r="L75" s="188"/>
      <c r="M75" s="189"/>
      <c r="N75" s="189"/>
      <c r="O75" s="190"/>
      <c r="P75" s="190"/>
    </row>
    <row r="76" spans="2:16" ht="13.5" thickBot="1">
      <c r="B76" s="4"/>
      <c r="F76" s="4"/>
      <c r="I76" s="188"/>
      <c r="J76" s="189"/>
      <c r="K76" s="188"/>
      <c r="L76" s="188"/>
      <c r="M76" s="189"/>
      <c r="N76" s="189"/>
      <c r="O76" s="190"/>
      <c r="P76" s="190"/>
    </row>
    <row r="77" spans="2:16" ht="13.5" thickBot="1">
      <c r="B77" s="4"/>
      <c r="F77" s="4"/>
      <c r="I77" s="188"/>
      <c r="J77" s="189"/>
      <c r="K77" s="188"/>
      <c r="L77" s="188"/>
      <c r="M77" s="189"/>
      <c r="N77" s="189"/>
      <c r="O77" s="190"/>
      <c r="P77" s="190"/>
    </row>
    <row r="78" spans="2:16" ht="13.5" thickBot="1">
      <c r="B78" s="4"/>
      <c r="F78" s="4"/>
      <c r="I78" s="188"/>
      <c r="J78" s="189"/>
      <c r="K78" s="188"/>
      <c r="L78" s="188"/>
      <c r="M78" s="189"/>
      <c r="N78" s="189"/>
      <c r="O78" s="190"/>
      <c r="P78" s="190"/>
    </row>
    <row r="79" spans="2:16" ht="13.5" thickBot="1">
      <c r="B79" s="4"/>
      <c r="F79" s="4"/>
      <c r="I79" s="188"/>
      <c r="J79" s="189"/>
      <c r="K79" s="188"/>
      <c r="L79" s="188"/>
      <c r="M79" s="189"/>
      <c r="N79" s="189"/>
      <c r="O79" s="190"/>
      <c r="P79" s="190"/>
    </row>
    <row r="80" spans="2:16" ht="13.5" thickBot="1">
      <c r="B80" s="4"/>
      <c r="F80" s="4"/>
      <c r="I80" s="188"/>
      <c r="J80" s="189"/>
      <c r="K80" s="188"/>
      <c r="L80" s="188"/>
      <c r="M80" s="189"/>
      <c r="N80" s="189"/>
      <c r="O80" s="190"/>
      <c r="P80" s="190"/>
    </row>
    <row r="81" spans="2:16" ht="13.5" thickBot="1">
      <c r="B81" s="4"/>
      <c r="F81" s="4"/>
      <c r="I81" s="188"/>
      <c r="J81" s="189"/>
      <c r="K81" s="188"/>
      <c r="L81" s="188"/>
      <c r="M81" s="189"/>
      <c r="N81" s="189"/>
      <c r="O81" s="190"/>
      <c r="P81" s="190"/>
    </row>
    <row r="82" spans="2:16" ht="13.5" thickBot="1">
      <c r="B82" s="4"/>
      <c r="F82" s="4"/>
      <c r="I82" s="188"/>
      <c r="J82" s="189"/>
      <c r="K82" s="188"/>
      <c r="L82" s="188"/>
      <c r="M82" s="189"/>
      <c r="N82" s="189"/>
      <c r="O82" s="190"/>
      <c r="P82" s="190"/>
    </row>
    <row r="83" spans="2:16" ht="13.5" thickBot="1">
      <c r="B83" s="4"/>
      <c r="F83" s="4"/>
      <c r="I83" s="188"/>
      <c r="J83" s="189"/>
      <c r="K83" s="188"/>
      <c r="L83" s="188"/>
      <c r="M83" s="189"/>
      <c r="N83" s="189"/>
      <c r="O83" s="190"/>
      <c r="P83" s="190"/>
    </row>
    <row r="84" spans="2:16" ht="13.5" thickBot="1">
      <c r="B84" s="4"/>
      <c r="F84" s="4"/>
      <c r="I84" s="188"/>
      <c r="J84" s="189"/>
      <c r="K84" s="188"/>
      <c r="L84" s="188"/>
      <c r="M84" s="189"/>
      <c r="N84" s="189"/>
      <c r="O84" s="190"/>
      <c r="P84" s="190"/>
    </row>
    <row r="85" spans="2:16" ht="13.5" thickBot="1">
      <c r="B85" s="4"/>
      <c r="F85" s="4"/>
      <c r="I85" s="188"/>
      <c r="J85" s="189"/>
      <c r="K85" s="188"/>
      <c r="L85" s="188"/>
      <c r="M85" s="189"/>
      <c r="N85" s="189"/>
      <c r="O85" s="190"/>
      <c r="P85" s="190"/>
    </row>
    <row r="86" spans="2:16" ht="13.5" thickBot="1">
      <c r="B86" s="4"/>
      <c r="F86" s="4"/>
      <c r="I86" s="188"/>
      <c r="J86" s="189"/>
      <c r="K86" s="188"/>
      <c r="L86" s="188"/>
      <c r="M86" s="189"/>
      <c r="N86" s="189"/>
      <c r="O86" s="190"/>
      <c r="P86" s="190"/>
    </row>
    <row r="87" spans="2:16" ht="13.5" thickBot="1">
      <c r="B87" s="4"/>
      <c r="F87" s="4"/>
      <c r="I87" s="188"/>
      <c r="J87" s="189"/>
      <c r="K87" s="188"/>
      <c r="L87" s="188"/>
      <c r="M87" s="189"/>
      <c r="N87" s="189"/>
      <c r="O87" s="190"/>
      <c r="P87" s="190"/>
    </row>
    <row r="88" spans="2:16" ht="13.5" thickBot="1">
      <c r="B88" s="4"/>
      <c r="F88" s="4"/>
      <c r="I88" s="188"/>
      <c r="J88" s="189"/>
      <c r="K88" s="188"/>
      <c r="L88" s="188"/>
      <c r="M88" s="189"/>
      <c r="N88" s="189"/>
      <c r="O88" s="190"/>
      <c r="P88" s="190"/>
    </row>
    <row r="89" spans="2:16" ht="13.5" thickBot="1">
      <c r="B89" s="4"/>
      <c r="F89" s="4"/>
      <c r="I89" s="188"/>
      <c r="J89" s="189"/>
      <c r="K89" s="188"/>
      <c r="L89" s="188"/>
      <c r="M89" s="189"/>
      <c r="N89" s="189"/>
      <c r="O89" s="190"/>
      <c r="P89" s="190"/>
    </row>
    <row r="90" spans="2:16" ht="13.5" thickBot="1">
      <c r="B90" s="4"/>
      <c r="F90" s="4"/>
      <c r="I90" s="188"/>
      <c r="J90" s="189"/>
      <c r="K90" s="188"/>
      <c r="L90" s="188"/>
      <c r="M90" s="189"/>
      <c r="N90" s="189"/>
      <c r="O90" s="190"/>
      <c r="P90" s="190"/>
    </row>
    <row r="91" spans="2:16" ht="13.5" thickBot="1">
      <c r="B91" s="4"/>
      <c r="F91" s="4"/>
      <c r="I91" s="188"/>
      <c r="J91" s="189"/>
      <c r="K91" s="188"/>
      <c r="L91" s="188"/>
      <c r="M91" s="189"/>
      <c r="N91" s="189"/>
      <c r="O91" s="190"/>
      <c r="P91" s="190"/>
    </row>
    <row r="92" spans="2:16" ht="13.5" thickBot="1">
      <c r="B92" s="4"/>
      <c r="F92" s="4"/>
      <c r="I92" s="188"/>
      <c r="J92" s="189"/>
      <c r="K92" s="188"/>
      <c r="L92" s="188"/>
      <c r="M92" s="189"/>
      <c r="N92" s="189"/>
      <c r="O92" s="190"/>
      <c r="P92" s="191"/>
    </row>
    <row r="93" spans="2:16" ht="13.5" thickBot="1">
      <c r="B93" s="4"/>
      <c r="F93" s="4"/>
      <c r="I93" s="188"/>
      <c r="J93" s="189"/>
      <c r="K93" s="188"/>
      <c r="L93" s="188"/>
      <c r="M93" s="189"/>
      <c r="N93" s="189"/>
      <c r="O93" s="190"/>
      <c r="P93" s="191"/>
    </row>
    <row r="94" spans="2:16" ht="13.5" thickBot="1">
      <c r="B94" s="4"/>
      <c r="F94" s="4"/>
      <c r="I94" s="188"/>
      <c r="J94" s="189"/>
      <c r="K94" s="188"/>
      <c r="L94" s="188"/>
      <c r="M94" s="189"/>
      <c r="N94" s="189"/>
      <c r="O94" s="190"/>
      <c r="P94" s="191"/>
    </row>
    <row r="95" spans="2:16" ht="13.5" thickBot="1">
      <c r="B95" s="4"/>
      <c r="F95" s="4"/>
      <c r="I95" s="188"/>
      <c r="J95" s="189"/>
      <c r="K95" s="188"/>
      <c r="L95" s="188"/>
      <c r="M95" s="189"/>
      <c r="N95" s="189"/>
      <c r="O95" s="190"/>
      <c r="P95" s="191"/>
    </row>
    <row r="96" spans="2:16" ht="13.5" thickBot="1">
      <c r="B96" s="4"/>
      <c r="F96" s="4"/>
      <c r="I96" s="188"/>
      <c r="J96" s="189"/>
      <c r="K96" s="188"/>
      <c r="L96" s="188"/>
      <c r="M96" s="189"/>
      <c r="N96" s="189"/>
      <c r="O96" s="190"/>
      <c r="P96" s="191"/>
    </row>
    <row r="97" spans="2:16" ht="13.5" thickBot="1">
      <c r="B97" s="4"/>
      <c r="F97" s="4"/>
      <c r="I97" s="188"/>
      <c r="J97" s="189"/>
      <c r="K97" s="188"/>
      <c r="L97" s="188"/>
      <c r="M97" s="189"/>
      <c r="N97" s="189"/>
      <c r="O97" s="190"/>
      <c r="P97" s="191"/>
    </row>
    <row r="98" spans="2:16" ht="13.5" thickBot="1">
      <c r="B98" s="4"/>
      <c r="F98" s="4"/>
      <c r="I98" s="188"/>
      <c r="J98" s="189"/>
      <c r="K98" s="188"/>
      <c r="L98" s="188"/>
      <c r="M98" s="189"/>
      <c r="N98" s="189"/>
      <c r="O98" s="190"/>
      <c r="P98" s="191"/>
    </row>
    <row r="99" spans="2:16" ht="13.5" thickBot="1">
      <c r="B99" s="4"/>
      <c r="F99" s="4"/>
      <c r="I99" s="188"/>
      <c r="J99" s="189"/>
      <c r="K99" s="188"/>
      <c r="L99" s="188"/>
      <c r="M99" s="189"/>
      <c r="N99" s="189"/>
      <c r="O99" s="190"/>
      <c r="P99" s="191"/>
    </row>
    <row r="100" spans="2:16" ht="13.5" thickBot="1">
      <c r="B100" s="4"/>
      <c r="F100" s="4"/>
      <c r="I100" s="188"/>
      <c r="J100" s="189"/>
      <c r="K100" s="188"/>
      <c r="L100" s="188"/>
      <c r="M100" s="189"/>
      <c r="N100" s="189"/>
      <c r="O100" s="190"/>
      <c r="P100" s="191"/>
    </row>
    <row r="101" spans="2:16" ht="13.5" thickBot="1">
      <c r="B101" s="4"/>
      <c r="F101" s="4"/>
      <c r="I101" s="188"/>
      <c r="J101" s="189"/>
      <c r="K101" s="188"/>
      <c r="L101" s="188"/>
      <c r="M101" s="189"/>
      <c r="N101" s="189"/>
      <c r="O101" s="190"/>
      <c r="P101" s="190"/>
    </row>
    <row r="102" spans="2:16" ht="13.5" thickBot="1">
      <c r="B102" s="4"/>
      <c r="F102" s="4"/>
      <c r="I102" s="188"/>
      <c r="J102" s="189"/>
      <c r="K102" s="188"/>
      <c r="L102" s="188"/>
      <c r="M102" s="189"/>
      <c r="N102" s="189"/>
      <c r="O102" s="190"/>
      <c r="P102" s="191"/>
    </row>
    <row r="103" spans="2:16" ht="13.5" thickBot="1">
      <c r="B103" s="4"/>
      <c r="F103" s="4"/>
      <c r="I103" s="188"/>
      <c r="J103" s="189"/>
      <c r="K103" s="188"/>
      <c r="L103" s="188"/>
      <c r="M103" s="189"/>
      <c r="N103" s="189"/>
      <c r="O103" s="190"/>
      <c r="P103" s="191"/>
    </row>
    <row r="104" spans="2:16" ht="13.5" thickBot="1">
      <c r="B104" s="4"/>
      <c r="F104" s="4"/>
      <c r="I104" s="188"/>
      <c r="J104" s="189"/>
      <c r="K104" s="188"/>
      <c r="L104" s="188"/>
      <c r="M104" s="189"/>
      <c r="N104" s="189"/>
      <c r="O104" s="190"/>
      <c r="P104" s="191"/>
    </row>
    <row r="105" spans="2:16" ht="13.5" thickBot="1">
      <c r="B105" s="4"/>
      <c r="F105" s="4"/>
      <c r="I105" s="188"/>
      <c r="J105" s="189"/>
      <c r="K105" s="188"/>
      <c r="L105" s="188"/>
      <c r="M105" s="189"/>
      <c r="N105" s="189"/>
      <c r="O105" s="190"/>
      <c r="P105" s="191"/>
    </row>
    <row r="106" spans="2:16" ht="13.5" thickBot="1">
      <c r="B106" s="4"/>
      <c r="F106" s="4"/>
      <c r="I106" s="188"/>
      <c r="J106" s="189"/>
      <c r="K106" s="188"/>
      <c r="L106" s="188"/>
      <c r="M106" s="189"/>
      <c r="N106" s="189"/>
      <c r="O106" s="190"/>
      <c r="P106" s="191"/>
    </row>
    <row r="107" spans="2:16" ht="13.5" thickBot="1">
      <c r="B107" s="4"/>
      <c r="F107" s="4"/>
      <c r="I107" s="188"/>
      <c r="J107" s="189"/>
      <c r="K107" s="188"/>
      <c r="L107" s="188"/>
      <c r="M107" s="189"/>
      <c r="N107" s="189"/>
      <c r="O107" s="190"/>
      <c r="P107" s="191"/>
    </row>
    <row r="108" spans="2:16" ht="13.5" thickBot="1">
      <c r="B108" s="4"/>
      <c r="F108" s="4"/>
      <c r="I108" s="188"/>
      <c r="J108" s="189"/>
      <c r="K108" s="188"/>
      <c r="L108" s="188"/>
      <c r="M108" s="189"/>
      <c r="N108" s="189"/>
      <c r="O108" s="190"/>
      <c r="P108" s="191"/>
    </row>
    <row r="109" spans="2:16" ht="13.5" thickBot="1">
      <c r="B109" s="4"/>
      <c r="F109" s="4"/>
      <c r="I109" s="188"/>
      <c r="J109" s="189"/>
      <c r="K109" s="188"/>
      <c r="L109" s="188"/>
      <c r="M109" s="189"/>
      <c r="N109" s="189"/>
      <c r="O109" s="190"/>
      <c r="P109" s="191"/>
    </row>
    <row r="110" spans="2:16" ht="13.5" thickBot="1">
      <c r="B110" s="4"/>
      <c r="F110" s="4"/>
      <c r="I110" s="188"/>
      <c r="J110" s="189"/>
      <c r="K110" s="188"/>
      <c r="L110" s="188"/>
      <c r="M110" s="189"/>
      <c r="N110" s="189"/>
      <c r="O110" s="190"/>
      <c r="P110" s="191"/>
    </row>
    <row r="111" spans="2:16" ht="13.5" thickBot="1">
      <c r="B111" s="4"/>
      <c r="F111" s="4"/>
      <c r="I111" s="188"/>
      <c r="J111" s="189"/>
      <c r="K111" s="188"/>
      <c r="L111" s="188"/>
      <c r="M111" s="189"/>
      <c r="N111" s="189"/>
      <c r="O111" s="190"/>
      <c r="P111" s="191"/>
    </row>
    <row r="112" spans="2:16" ht="13.5" thickBot="1">
      <c r="B112" s="4"/>
      <c r="F112" s="4"/>
      <c r="I112" s="188"/>
      <c r="J112" s="189"/>
      <c r="K112" s="188"/>
      <c r="L112" s="188"/>
      <c r="M112" s="189"/>
      <c r="N112" s="189"/>
      <c r="O112" s="190"/>
      <c r="P112" s="191"/>
    </row>
    <row r="113" spans="2:16" ht="13.5" thickBot="1">
      <c r="B113" s="4"/>
      <c r="F113" s="4"/>
      <c r="I113" s="188"/>
      <c r="J113" s="189"/>
      <c r="K113" s="188"/>
      <c r="L113" s="188"/>
      <c r="M113" s="189"/>
      <c r="N113" s="189"/>
      <c r="O113" s="190"/>
      <c r="P113" s="191"/>
    </row>
    <row r="114" spans="2:16" ht="13.5" thickBot="1">
      <c r="B114" s="4"/>
      <c r="F114" s="4"/>
      <c r="I114" s="188"/>
      <c r="J114" s="189"/>
      <c r="K114" s="188"/>
      <c r="L114" s="188"/>
      <c r="M114" s="189"/>
      <c r="N114" s="189"/>
      <c r="O114" s="190"/>
      <c r="P114" s="191"/>
    </row>
    <row r="115" spans="2:16" ht="13.5" thickBot="1">
      <c r="B115" s="4"/>
      <c r="F115" s="4"/>
      <c r="I115" s="188"/>
      <c r="J115" s="189"/>
      <c r="K115" s="188"/>
      <c r="L115" s="188"/>
      <c r="M115" s="189"/>
      <c r="N115" s="189"/>
      <c r="O115" s="190"/>
      <c r="P115" s="191"/>
    </row>
    <row r="116" spans="2:16" ht="13.5" thickBot="1">
      <c r="B116" s="4"/>
      <c r="F116" s="4"/>
      <c r="I116" s="188"/>
      <c r="J116" s="189"/>
      <c r="K116" s="188"/>
      <c r="L116" s="188"/>
      <c r="M116" s="189"/>
      <c r="N116" s="189"/>
      <c r="O116" s="190"/>
      <c r="P116" s="191"/>
    </row>
    <row r="117" spans="2:16" ht="13.5" thickBot="1">
      <c r="B117" s="4"/>
      <c r="F117" s="4"/>
      <c r="I117" s="188"/>
      <c r="J117" s="189"/>
      <c r="K117" s="188"/>
      <c r="L117" s="188"/>
      <c r="M117" s="189"/>
      <c r="N117" s="189"/>
      <c r="O117" s="190"/>
      <c r="P117" s="191"/>
    </row>
    <row r="118" spans="2:16" ht="13.5" thickBot="1">
      <c r="B118" s="4"/>
      <c r="F118" s="4"/>
      <c r="I118" s="188"/>
      <c r="J118" s="189"/>
      <c r="K118" s="188"/>
      <c r="L118" s="188"/>
      <c r="M118" s="189"/>
      <c r="N118" s="189"/>
      <c r="O118" s="190"/>
      <c r="P118" s="191"/>
    </row>
    <row r="119" spans="2:16" ht="13.5" thickBot="1">
      <c r="B119" s="4"/>
      <c r="F119" s="4"/>
      <c r="I119" s="188"/>
      <c r="J119" s="189"/>
      <c r="K119" s="188"/>
      <c r="L119" s="188"/>
      <c r="M119" s="189"/>
      <c r="N119" s="189"/>
      <c r="O119" s="190"/>
      <c r="P119" s="191"/>
    </row>
    <row r="120" spans="2:16">
      <c r="B120" s="4"/>
      <c r="F120" s="4"/>
    </row>
    <row r="121" spans="2:16">
      <c r="B121" s="4"/>
      <c r="F121" s="4"/>
    </row>
    <row r="122" spans="2:16">
      <c r="B122" s="4"/>
      <c r="F122" s="4"/>
    </row>
    <row r="123" spans="2:16">
      <c r="B123" s="4"/>
      <c r="F123" s="4"/>
    </row>
    <row r="124" spans="2:16">
      <c r="B124" s="4"/>
      <c r="F124" s="4"/>
    </row>
    <row r="125" spans="2:16">
      <c r="B125" s="4"/>
      <c r="F125" s="4"/>
    </row>
    <row r="126" spans="2:16">
      <c r="B126" s="4"/>
      <c r="F126" s="4"/>
    </row>
    <row r="127" spans="2:16">
      <c r="B127" s="4"/>
      <c r="F127" s="4"/>
    </row>
    <row r="128" spans="2:1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 xr:uid="{00000000-0004-0000-0A00-000000000000}"/>
    <hyperlink ref="P40" r:id="rId2" display="http://www.konkoly.hu/cgi-bin/IBVS?2035" xr:uid="{00000000-0004-0000-0A00-000001000000}"/>
    <hyperlink ref="P41" r:id="rId3" display="http://www.konkoly.hu/cgi-bin/IBVS?2035" xr:uid="{00000000-0004-0000-0A00-000002000000}"/>
    <hyperlink ref="P42" r:id="rId4" display="http://www.konkoly.hu/cgi-bin/IBVS?2035" xr:uid="{00000000-0004-0000-0A00-000003000000}"/>
    <hyperlink ref="P43" r:id="rId5" display="http://www.konkoly.hu/cgi-bin/IBVS?2035" xr:uid="{00000000-0004-0000-0A00-000004000000}"/>
    <hyperlink ref="P44" r:id="rId6" display="http://www.konkoly.hu/cgi-bin/IBVS?2035" xr:uid="{00000000-0004-0000-0A00-000005000000}"/>
    <hyperlink ref="P45" r:id="rId7" display="http://www.konkoly.hu/cgi-bin/IBVS?2035" xr:uid="{00000000-0004-0000-0A00-000006000000}"/>
    <hyperlink ref="P46" r:id="rId8" display="http://www.konkoly.hu/cgi-bin/IBVS?2035" xr:uid="{00000000-0004-0000-0A00-000007000000}"/>
    <hyperlink ref="P47" r:id="rId9" display="http://vsolj.cetus-net.org/no47.pdf" xr:uid="{00000000-0004-0000-0A00-000008000000}"/>
    <hyperlink ref="P48" r:id="rId10" display="http://vsolj.cetus-net.org/no47.pdf" xr:uid="{00000000-0004-0000-0A00-000009000000}"/>
    <hyperlink ref="P49" r:id="rId11" display="http://vsolj.cetus-net.org/no47.pdf" xr:uid="{00000000-0004-0000-0A00-00000A000000}"/>
    <hyperlink ref="P50" r:id="rId12" display="http://vsolj.cetus-net.org/no47.pdf" xr:uid="{00000000-0004-0000-0A00-00000B000000}"/>
    <hyperlink ref="P51" r:id="rId13" display="http://vsolj.cetus-net.org/no42.pdf" xr:uid="{00000000-0004-0000-0A00-00000C000000}"/>
    <hyperlink ref="P52" r:id="rId14" display="http://vsolj.cetus-net.org/no42.pdf" xr:uid="{00000000-0004-0000-0A00-00000D000000}"/>
    <hyperlink ref="P28" r:id="rId15" display="http://www.konkoly.hu/cgi-bin/IBVS?5690" xr:uid="{00000000-0004-0000-0A00-00000E000000}"/>
    <hyperlink ref="P29" r:id="rId16" display="http://www.konkoly.hu/cgi-bin/IBVS?5741" xr:uid="{00000000-0004-0000-0A00-00000F000000}"/>
    <hyperlink ref="P30" r:id="rId17" display="http://www.konkoly.hu/cgi-bin/IBVS?5843" xr:uid="{00000000-0004-0000-0A00-000010000000}"/>
    <hyperlink ref="P31" r:id="rId18" display="http://www.konkoly.hu/cgi-bin/IBVS?5843" xr:uid="{00000000-0004-0000-0A00-000011000000}"/>
    <hyperlink ref="P32" r:id="rId19" display="http://www.konkoly.hu/cgi-bin/IBVS?5843" xr:uid="{00000000-0004-0000-0A00-000012000000}"/>
    <hyperlink ref="P33" r:id="rId20" display="http://www.konkoly.hu/cgi-bin/IBVS?5843" xr:uid="{00000000-0004-0000-0A00-000013000000}"/>
    <hyperlink ref="P53" r:id="rId21" display="http://vsolj.cetus-net.org/no45.pdf" xr:uid="{00000000-0004-0000-0A00-000014000000}"/>
    <hyperlink ref="P54" r:id="rId22" display="http://vsolj.cetus-net.org/no45.pdf" xr:uid="{00000000-0004-0000-0A00-000015000000}"/>
    <hyperlink ref="P55" r:id="rId23" display="http://vsolj.cetus-net.org/no48.pdf" xr:uid="{00000000-0004-0000-0A00-000016000000}"/>
    <hyperlink ref="P34" r:id="rId24" display="http://www.aavso.org/sites/default/files/jaavso/v37n1/44.pdf" xr:uid="{00000000-0004-0000-0A00-000017000000}"/>
    <hyperlink ref="P56" r:id="rId25" display="http://www.konkoly.hu/cgi-bin/IBVS?5917" xr:uid="{00000000-0004-0000-0A00-000018000000}"/>
    <hyperlink ref="P57" r:id="rId26" display="http://vsolj.cetus-net.org/vsoljno50.pdf" xr:uid="{00000000-0004-0000-0A00-000019000000}"/>
    <hyperlink ref="P58" r:id="rId27" display="http://vsolj.cetus-net.org/vsoljno50.pdf" xr:uid="{00000000-0004-0000-0A00-00001A000000}"/>
    <hyperlink ref="P59" r:id="rId28" display="http://vsolj.cetus-net.org/vsoljno51.pdf" xr:uid="{00000000-0004-0000-0A00-00001B000000}"/>
    <hyperlink ref="P60" r:id="rId29" display="http://vsolj.cetus-net.org/vsoljno51.pdf" xr:uid="{00000000-0004-0000-0A00-00001C000000}"/>
    <hyperlink ref="P35" r:id="rId30" display="http://www.konkoly.hu/cgi-bin/IBVS?5992" xr:uid="{00000000-0004-0000-0A00-00001D000000}"/>
    <hyperlink ref="P61" r:id="rId31" display="http://www.konkoly.hu/cgi-bin/IBVS?6029" xr:uid="{00000000-0004-0000-0A00-00001E000000}"/>
    <hyperlink ref="P62" r:id="rId32" display="http://vsolj.cetus-net.org/vsoljno55.pdf" xr:uid="{00000000-0004-0000-0A00-00001F000000}"/>
    <hyperlink ref="P36" r:id="rId33" display="http://var.astro.cz/oejv/issues/oejv0160.pdf" xr:uid="{00000000-0004-0000-0A00-000020000000}"/>
    <hyperlink ref="P37" r:id="rId34" display="http://var.astro.cz/oejv/issues/oejv0160.pdf" xr:uid="{00000000-0004-0000-0A00-000021000000}"/>
    <hyperlink ref="P38" r:id="rId35" display="http://var.astro.cz/oejv/issues/oejv0160.pdf" xr:uid="{00000000-0004-0000-0A00-000022000000}"/>
    <hyperlink ref="P39" r:id="rId36" display="http://var.astro.cz/oejv/issues/oejv0160.pdf" xr:uid="{00000000-0004-0000-0A00-000023000000}"/>
    <hyperlink ref="P63" r:id="rId37" display="http://www.konkoly.hu/cgi-bin/IBVS?6029" xr:uid="{00000000-0004-0000-0A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 1</vt:lpstr>
      <vt:lpstr>Graphs 1</vt:lpstr>
      <vt:lpstr>Active 2</vt:lpstr>
      <vt:lpstr>Graphs 2</vt:lpstr>
      <vt:lpstr>Active 6</vt:lpstr>
      <vt:lpstr>Q_fit (3)</vt:lpstr>
      <vt:lpstr>Q_fit</vt:lpstr>
      <vt:lpstr>A (3)</vt:lpstr>
      <vt:lpstr>A (5)</vt:lpstr>
      <vt:lpstr>A (4)</vt:lpstr>
      <vt:lpstr>A (old2)</vt:lpstr>
      <vt:lpstr>Q_fit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1418329752</vt:i4>
  </property>
  <property fmtid="{D5CDD505-2E9C-101B-9397-08002B2CF9AE}" pid="3" name="_EmailSubject">
    <vt:lpwstr>Rocket - VZ Lib</vt:lpwstr>
  </property>
  <property fmtid="{D5CDD505-2E9C-101B-9397-08002B2CF9AE}" pid="4" name="_AuthorEmail">
    <vt:lpwstr>Thomas.Krajci@kirtland.af.mil</vt:lpwstr>
  </property>
  <property fmtid="{D5CDD505-2E9C-101B-9397-08002B2CF9AE}" pid="5" name="_AuthorEmailDisplayName">
    <vt:lpwstr>Krajci Thomas J Maj 58 OSS/DOK</vt:lpwstr>
  </property>
  <property fmtid="{D5CDD505-2E9C-101B-9397-08002B2CF9AE}" pid="6" name="_PreviousAdHocReviewCycleID">
    <vt:i4>-1957329855</vt:i4>
  </property>
  <property fmtid="{D5CDD505-2E9C-101B-9397-08002B2CF9AE}" pid="7" name="_ReviewingToolsShownOnce">
    <vt:lpwstr/>
  </property>
</Properties>
</file>