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1B30FFD-8A24-4A5A-9F9B-9D395F6ADC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F16" i="1"/>
  <c r="F17" i="1" s="1"/>
  <c r="D9" i="1"/>
  <c r="C9" i="1"/>
  <c r="Q22" i="1"/>
  <c r="C21" i="1"/>
  <c r="A21" i="1"/>
  <c r="R22" i="1"/>
  <c r="C7" i="1"/>
  <c r="C8" i="1"/>
  <c r="E21" i="1"/>
  <c r="F21" i="1"/>
  <c r="C17" i="1"/>
  <c r="Q21" i="1"/>
  <c r="E23" i="1"/>
  <c r="F23" i="1"/>
  <c r="G23" i="1"/>
  <c r="K23" i="1"/>
  <c r="E22" i="1"/>
  <c r="F22" i="1"/>
  <c r="G22" i="1"/>
  <c r="K22" i="1"/>
  <c r="G21" i="1"/>
  <c r="I21" i="1"/>
  <c r="C11" i="1"/>
  <c r="C12" i="1"/>
  <c r="C16" i="1" l="1"/>
  <c r="D18" i="1" s="1"/>
  <c r="O22" i="1"/>
  <c r="O23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<sst xmlns="http://schemas.openxmlformats.org/spreadsheetml/2006/main" count="54" uniqueCount="49">
  <si>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</si>
  <si>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</si>
  <si>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</si>
  <si>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</si>
  <si>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</si>
  <si>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</si>
  <si>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</si>
  <si>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</si>
  <si>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</si>
  <si>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</si>
  <si>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</si>
  <si>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</si>
  <si>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</si>
  <si>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</si>
  <si>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</si>
  <si>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</si>
  <si>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</si>
  <si>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</si>
  <si>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</si>
  <si>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</si>
  <si>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</si>
  <si>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</si>
  <si>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</si>
  <si>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</si>
  <si>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</si>
  <si>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</si>
  <si>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</si>
  <si>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</si>
  <si>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</si>
  <si>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</si>
  <si>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</si>
  <si>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</si>
  <si>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</si>
  <si>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GSC 7821 0523_Lup.xls</t>
  </si>
  <si>
    <t>EW</t>
  </si>
  <si>
    <t>IBVS 5495 Eph.</t>
  </si>
  <si>
    <t>IBVS 5495</t>
  </si>
  <si>
    <t>Lup</t>
  </si>
  <si>
    <t>OS Lup / GSC 7821 0523 / NSV 06917</t>
  </si>
  <si>
    <t>OEJV 0179</t>
  </si>
  <si>
    <t>II</t>
  </si>
  <si>
    <t>pg</t>
  </si>
  <si>
    <t>vis</t>
  </si>
  <si>
    <t>PE</t>
  </si>
  <si>
    <t>CCD</t>
  </si>
  <si>
    <t>Add cycle</t>
  </si>
  <si>
    <t>Old Cycle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</si>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</sst>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4" fillId="0" borderId="0"/>
    <xf numFmtId="0" fontId="14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29" fillId="0" borderId="0" xfId="41" applyFont="1" applyAlignment="1">
      <alignment vertical="center"/>
    </xf>
    <xf numFmtId="0" fontId="29" fillId="0" borderId="0" xfId="41" applyFont="1" applyAlignment="1">
      <alignment horizontal="center" vertical="center"/>
    </xf>
    <xf numFmtId="0" fontId="29" fillId="0" borderId="0" xfId="41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OS Lup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E2-43F5-B8EF-3C263B687F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2-43F5-B8EF-3C263B687F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E2-43F5-B8EF-3C263B687F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3.5954999999376014E-2</c:v>
                </c:pt>
                <c:pt idx="2">
                  <c:v>4.1464000038104132E-2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E2-43F5-B8EF-3C263B687F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E2-43F5-B8EF-3C263B687F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E2-43F5-B8EF-3C263B687F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E2-43F5-B8EF-3C263B687F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13485</c:v>
                </c:pt>
                <c:pt idx="2">
                  <c:v>15396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-2.523158708907583E-5</c:v>
                </c:pt>
                <c:pt idx="1">
                  <c:v>3.6158278657054427E-2</c:v>
                </c:pt>
                <c:pt idx="2">
                  <c:v>4.1285952967514805E-2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E2-43F5-B8EF-3C263B687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484080"/>
        <c:axId val="1"/>
      </c:scatterChart>
      <c:valAx>
        <c:axId val="84348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3484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D5F878-4B23-D6BD-A57C-160D35D1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8: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5"/>
      <c r="F1" s="5" t="s">
        <v>33</v>
      </c>
      <c r="G1" s="6" t="s">
        <v>34</v>
      </c>
      <c r="H1" s="3" t="s">
        <v>35</v>
      </c>
      <c r="I1" s="7">
        <v>52132.527000000002</v>
      </c>
      <c r="J1" s="7">
        <v>0.37413099999999999</v>
      </c>
      <c r="K1" s="8" t="s">
        <v>36</v>
      </c>
      <c r="L1" s="4" t="s">
        <v>37</v>
      </c>
    </row>
    <row r="2" spans="1:12" s="9" customFormat="1" ht="12.95" customHeight="1" x14ac:dyDescent="0.2">
      <c r="A2" s="9" t="s">
        <v>22</v>
      </c>
      <c r="B2" s="9" t="s">
        <v>34</v>
      </c>
      <c r="C2" s="10" t="s">
        <v>37</v>
      </c>
      <c r="D2" s="9" t="s">
        <v>33</v>
      </c>
    </row>
    <row r="3" spans="1:12" s="9" customFormat="1" ht="12.95" customHeight="1" thickBot="1" x14ac:dyDescent="0.25"/>
    <row r="4" spans="1:12" s="9" customFormat="1" ht="12.95" customHeight="1" thickTop="1" thickBot="1" x14ac:dyDescent="0.25">
      <c r="A4" s="11" t="s">
        <v>35</v>
      </c>
      <c r="C4" s="12">
        <v>52132.527000000002</v>
      </c>
      <c r="D4" s="13">
        <v>0.37413099999999999</v>
      </c>
    </row>
    <row r="5" spans="1:12" s="9" customFormat="1" ht="12.95" customHeight="1" thickTop="1" x14ac:dyDescent="0.2">
      <c r="A5" s="11" t="s">
        <v>27</v>
      </c>
      <c r="C5" s="14">
        <v>-9.5</v>
      </c>
      <c r="D5" s="9" t="s">
        <v>28</v>
      </c>
    </row>
    <row r="6" spans="1:12" s="9" customFormat="1" ht="12.95" customHeight="1" x14ac:dyDescent="0.2">
      <c r="A6" s="15" t="s">
        <v>0</v>
      </c>
    </row>
    <row r="7" spans="1:12" s="9" customFormat="1" ht="12.95" customHeight="1" x14ac:dyDescent="0.2">
      <c r="A7" s="9" t="s">
        <v>1</v>
      </c>
      <c r="C7" s="9">
        <f>+C4</f>
        <v>52132.527000000002</v>
      </c>
    </row>
    <row r="8" spans="1:12" s="9" customFormat="1" ht="12.95" customHeight="1" x14ac:dyDescent="0.2">
      <c r="A8" s="9" t="s">
        <v>2</v>
      </c>
      <c r="C8" s="9">
        <f>+D4</f>
        <v>0.37413099999999999</v>
      </c>
    </row>
    <row r="9" spans="1:12" s="9" customFormat="1" ht="12.95" customHeight="1" x14ac:dyDescent="0.2">
      <c r="A9" s="16" t="s">
        <v>32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12" s="9" customFormat="1" ht="12.95" customHeight="1" thickBot="1" x14ac:dyDescent="0.25">
      <c r="C10" s="20" t="s">
        <v>18</v>
      </c>
      <c r="D10" s="20" t="s">
        <v>19</v>
      </c>
    </row>
    <row r="11" spans="1:12" s="9" customFormat="1" ht="12.95" customHeight="1" x14ac:dyDescent="0.2">
      <c r="A11" s="9" t="s">
        <v>14</v>
      </c>
      <c r="C11" s="19">
        <f ca="1">INTERCEPT(INDIRECT($D$9):G992,INDIRECT($C$9):F992)</f>
        <v>-2.523158708907583E-5</v>
      </c>
      <c r="D11" s="21"/>
    </row>
    <row r="12" spans="1:12" s="9" customFormat="1" ht="12.95" customHeight="1" x14ac:dyDescent="0.2">
      <c r="A12" s="9" t="s">
        <v>15</v>
      </c>
      <c r="C12" s="19">
        <f ca="1">SLOPE(INDIRECT($D$9):G992,INDIRECT($C$9):F992)</f>
        <v>2.6832413974151649E-6</v>
      </c>
      <c r="D12" s="21"/>
    </row>
    <row r="13" spans="1:12" s="9" customFormat="1" ht="12.95" customHeight="1" x14ac:dyDescent="0.2">
      <c r="A13" s="9" t="s">
        <v>17</v>
      </c>
      <c r="C13" s="21" t="s">
        <v>12</v>
      </c>
    </row>
    <row r="14" spans="1:12" s="9" customFormat="1" ht="12.95" customHeight="1" x14ac:dyDescent="0.2"/>
    <row r="15" spans="1:12" s="9" customFormat="1" ht="12.95" customHeight="1" x14ac:dyDescent="0.2">
      <c r="A15" s="22" t="s">
        <v>16</v>
      </c>
      <c r="C15" s="23">
        <f ca="1">(C7+C11)+(C8+C12)*INT(MAX(F21:F3533))</f>
        <v>57892.689161952971</v>
      </c>
      <c r="E15" s="24" t="s">
        <v>45</v>
      </c>
      <c r="F15" s="25">
        <v>1</v>
      </c>
    </row>
    <row r="16" spans="1:12" s="9" customFormat="1" ht="12.95" customHeight="1" x14ac:dyDescent="0.2">
      <c r="A16" s="15" t="s">
        <v>3</v>
      </c>
      <c r="C16" s="26">
        <f ca="1">+C8+C12</f>
        <v>0.3741336832413974</v>
      </c>
      <c r="E16" s="24" t="s">
        <v>29</v>
      </c>
      <c r="F16" s="26">
        <f ca="1">NOW()+15018.5+$C$5/24</f>
        <v>60358.785691782403</v>
      </c>
    </row>
    <row r="17" spans="1:18" s="9" customFormat="1" ht="12.95" customHeight="1" thickBot="1" x14ac:dyDescent="0.25">
      <c r="A17" s="24" t="s">
        <v>26</v>
      </c>
      <c r="C17" s="9">
        <f>COUNT(C21:C2191)</f>
        <v>3</v>
      </c>
      <c r="E17" s="24" t="s">
        <v>46</v>
      </c>
      <c r="F17" s="27">
        <f ca="1">ROUND(2*(F16-$C$7)/$C$8,0)/2+F15</f>
        <v>21988.5</v>
      </c>
    </row>
    <row r="18" spans="1:18" s="9" customFormat="1" ht="12.95" customHeight="1" thickTop="1" thickBot="1" x14ac:dyDescent="0.25">
      <c r="A18" s="15" t="s">
        <v>4</v>
      </c>
      <c r="C18" s="28">
        <f ca="1">+C15</f>
        <v>57892.689161952971</v>
      </c>
      <c r="D18" s="29">
        <f ca="1">+C16</f>
        <v>0.3741336832413974</v>
      </c>
      <c r="E18" s="24" t="s">
        <v>30</v>
      </c>
      <c r="F18" s="19">
        <f ca="1">ROUND(2*(F16-$C$15)/$C$16,0)/2+F15</f>
        <v>6592.5</v>
      </c>
    </row>
    <row r="19" spans="1:18" s="9" customFormat="1" ht="12.95" customHeight="1" thickTop="1" x14ac:dyDescent="0.2">
      <c r="E19" s="24" t="s">
        <v>31</v>
      </c>
      <c r="F19" s="30">
        <f ca="1">+$C$15+$C$16*F18-15018.5-$C$5/24</f>
        <v>45341.061302055219</v>
      </c>
    </row>
    <row r="20" spans="1:18" s="9" customFormat="1" ht="12.95" customHeight="1" thickBot="1" x14ac:dyDescent="0.25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31" t="s">
        <v>41</v>
      </c>
      <c r="I20" s="31" t="s">
        <v>42</v>
      </c>
      <c r="J20" s="31" t="s">
        <v>43</v>
      </c>
      <c r="K20" s="31" t="s">
        <v>44</v>
      </c>
      <c r="L20" s="31" t="s">
        <v>23</v>
      </c>
      <c r="M20" s="31" t="s">
        <v>24</v>
      </c>
      <c r="N20" s="31" t="s">
        <v>25</v>
      </c>
      <c r="O20" s="31" t="s">
        <v>21</v>
      </c>
      <c r="P20" s="32" t="s">
        <v>20</v>
      </c>
      <c r="Q20" s="20" t="s">
        <v>13</v>
      </c>
    </row>
    <row r="21" spans="1:18" s="9" customFormat="1" ht="12.95" customHeight="1" x14ac:dyDescent="0.2">
      <c r="A21" s="9" t="str">
        <f>$K$1</f>
        <v>IBVS 5495</v>
      </c>
      <c r="C21" s="10">
        <f>+$C$4</f>
        <v>52132.527000000002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-2.523158708907583E-5</v>
      </c>
      <c r="Q21" s="33">
        <f>+C21-15018.5</f>
        <v>37114.027000000002</v>
      </c>
    </row>
    <row r="22" spans="1:18" s="9" customFormat="1" ht="12.95" customHeight="1" x14ac:dyDescent="0.2">
      <c r="A22" s="34" t="s">
        <v>39</v>
      </c>
      <c r="B22" s="35" t="s">
        <v>40</v>
      </c>
      <c r="C22" s="36">
        <v>57177.719490000003</v>
      </c>
      <c r="D22" s="36">
        <v>1E-4</v>
      </c>
      <c r="E22" s="9">
        <f>+(C22-C$7)/C$8</f>
        <v>13485.096102701998</v>
      </c>
      <c r="F22" s="9">
        <f>ROUND(2*E22,0)/2</f>
        <v>13485</v>
      </c>
      <c r="G22" s="9">
        <f>+C22-(C$7+F22*C$8)</f>
        <v>3.5954999999376014E-2</v>
      </c>
      <c r="K22" s="9">
        <f>+G22</f>
        <v>3.5954999999376014E-2</v>
      </c>
      <c r="O22" s="9">
        <f ca="1">+C$11+C$12*$F22</f>
        <v>3.6158278657054427E-2</v>
      </c>
      <c r="Q22" s="33">
        <f>+C22-15018.5</f>
        <v>42159.219490000003</v>
      </c>
      <c r="R22" s="9" t="str">
        <f>IF(ABS(C22-C21)&lt;0.00001,1,"")</f>
        <v/>
      </c>
    </row>
    <row r="23" spans="1:18" s="9" customFormat="1" ht="12.95" customHeight="1" x14ac:dyDescent="0.2">
      <c r="A23" s="37" t="s">
        <v>47</v>
      </c>
      <c r="B23" s="38" t="s">
        <v>48</v>
      </c>
      <c r="C23" s="39">
        <v>57892.689340000041</v>
      </c>
      <c r="D23" s="39">
        <v>0</v>
      </c>
      <c r="E23" s="9">
        <f>+(C23-C$7)/C$8</f>
        <v>15396.110827491009</v>
      </c>
      <c r="F23" s="9">
        <f>ROUND(2*E23,0)/2</f>
        <v>15396</v>
      </c>
      <c r="G23" s="9">
        <f>+C23-(C$7+F23*C$8)</f>
        <v>4.1464000038104132E-2</v>
      </c>
      <c r="K23" s="9">
        <f>+G23</f>
        <v>4.1464000038104132E-2</v>
      </c>
      <c r="O23" s="9">
        <f ca="1">+C$11+C$12*$F23</f>
        <v>4.1285952967514805E-2</v>
      </c>
      <c r="Q23" s="33">
        <f>+C23-15018.5</f>
        <v>42874.189340000041</v>
      </c>
    </row>
    <row r="24" spans="1:18" s="9" customFormat="1" ht="12.95" customHeight="1" x14ac:dyDescent="0.2">
      <c r="Q24" s="33"/>
    </row>
    <row r="25" spans="1:18" s="9" customFormat="1" ht="12.95" customHeight="1" x14ac:dyDescent="0.2">
      <c r="C25" s="10"/>
      <c r="D25" s="10"/>
      <c r="Q25" s="33"/>
    </row>
    <row r="26" spans="1:18" s="9" customFormat="1" ht="12.95" customHeight="1" x14ac:dyDescent="0.2">
      <c r="C26" s="10"/>
      <c r="D26" s="10"/>
      <c r="Q26" s="33"/>
    </row>
    <row r="27" spans="1:18" s="9" customFormat="1" ht="12.95" customHeight="1" x14ac:dyDescent="0.2">
      <c r="C27" s="10"/>
      <c r="D27" s="10"/>
      <c r="Q27" s="33"/>
    </row>
    <row r="28" spans="1:18" s="9" customFormat="1" ht="12.95" customHeight="1" x14ac:dyDescent="0.2">
      <c r="C28" s="10"/>
      <c r="D28" s="10"/>
      <c r="Q28" s="33"/>
    </row>
    <row r="29" spans="1:18" s="9" customFormat="1" ht="12.95" customHeight="1" x14ac:dyDescent="0.2">
      <c r="C29" s="10"/>
      <c r="D29" s="10"/>
      <c r="Q29" s="33"/>
    </row>
    <row r="30" spans="1:18" s="9" customFormat="1" ht="12.95" customHeight="1" x14ac:dyDescent="0.2">
      <c r="C30" s="10"/>
      <c r="D30" s="10"/>
      <c r="Q30" s="33"/>
    </row>
    <row r="31" spans="1:18" s="9" customFormat="1" ht="12.95" customHeight="1" x14ac:dyDescent="0.2">
      <c r="C31" s="10"/>
      <c r="D31" s="10"/>
      <c r="Q31" s="33"/>
    </row>
    <row r="32" spans="1:18" s="9" customFormat="1" ht="12.95" customHeight="1" x14ac:dyDescent="0.2">
      <c r="C32" s="10"/>
      <c r="D32" s="10"/>
      <c r="Q32" s="33"/>
    </row>
    <row r="33" spans="3:17" s="9" customFormat="1" ht="12.95" customHeight="1" x14ac:dyDescent="0.2">
      <c r="C33" s="10"/>
      <c r="D33" s="10"/>
      <c r="Q33" s="33"/>
    </row>
    <row r="34" spans="3:17" s="9" customFormat="1" ht="12.95" customHeight="1" x14ac:dyDescent="0.2">
      <c r="C34" s="10"/>
      <c r="D34" s="10"/>
    </row>
    <row r="35" spans="3:17" s="9" customFormat="1" ht="12.95" customHeight="1" x14ac:dyDescent="0.2">
      <c r="C35" s="10"/>
      <c r="D35" s="10"/>
    </row>
    <row r="36" spans="3:17" s="9" customFormat="1" ht="12.95" customHeight="1" x14ac:dyDescent="0.2">
      <c r="C36" s="10"/>
      <c r="D36" s="10"/>
    </row>
    <row r="37" spans="3:17" s="9" customFormat="1" ht="12.95" customHeight="1" x14ac:dyDescent="0.2">
      <c r="C37" s="10"/>
      <c r="D37" s="10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2024-02-18T05:51:23Z</dcterms:modified>
</cp:coreProperties>
</file>