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671FD85-A4D5-4AE9-AA55-66396EE49F3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A21" i="1" l="1"/>
  <c r="E27" i="1"/>
  <c r="F27" i="1"/>
  <c r="G27" i="1"/>
  <c r="J27" i="1"/>
  <c r="E28" i="1"/>
  <c r="F28" i="1"/>
  <c r="G28" i="1"/>
  <c r="J28" i="1"/>
  <c r="E29" i="1"/>
  <c r="F29" i="1"/>
  <c r="G29" i="1"/>
  <c r="J29" i="1"/>
  <c r="E30" i="1"/>
  <c r="F30" i="1"/>
  <c r="G30" i="1"/>
  <c r="J30" i="1"/>
  <c r="E31" i="1"/>
  <c r="F31" i="1"/>
  <c r="G31" i="1"/>
  <c r="J31" i="1"/>
  <c r="E22" i="1"/>
  <c r="F22" i="1"/>
  <c r="G22" i="1"/>
  <c r="I22" i="1"/>
  <c r="E23" i="1"/>
  <c r="F23" i="1"/>
  <c r="G23" i="1"/>
  <c r="J23" i="1"/>
  <c r="E24" i="1"/>
  <c r="F24" i="1"/>
  <c r="G24" i="1"/>
  <c r="J24" i="1"/>
  <c r="E25" i="1"/>
  <c r="F25" i="1"/>
  <c r="G25" i="1"/>
  <c r="J25" i="1"/>
  <c r="E26" i="1"/>
  <c r="F26" i="1"/>
  <c r="G26" i="1"/>
  <c r="J26" i="1"/>
  <c r="Q27" i="1"/>
  <c r="Q28" i="1"/>
  <c r="Q29" i="1"/>
  <c r="Q30" i="1"/>
  <c r="Q31" i="1"/>
  <c r="E21" i="1"/>
  <c r="F21" i="1"/>
  <c r="G21" i="1"/>
  <c r="H21" i="1"/>
  <c r="G11" i="1"/>
  <c r="F11" i="1"/>
  <c r="Q26" i="1"/>
  <c r="Q23" i="1"/>
  <c r="Q24" i="1"/>
  <c r="Q25" i="1"/>
  <c r="E14" i="1"/>
  <c r="E15" i="1" s="1"/>
  <c r="C17" i="1"/>
  <c r="Q22" i="1"/>
  <c r="R22" i="1"/>
  <c r="G4" i="1"/>
  <c r="F4" i="1"/>
  <c r="Q21" i="1"/>
  <c r="C11" i="1"/>
  <c r="C12" i="1"/>
  <c r="C16" i="1" l="1"/>
  <c r="D18" i="1" s="1"/>
  <c r="O22" i="1"/>
  <c r="O26" i="1"/>
  <c r="O27" i="1"/>
  <c r="O25" i="1"/>
  <c r="O23" i="1"/>
  <c r="O21" i="1"/>
  <c r="O24" i="1"/>
  <c r="O29" i="1"/>
  <c r="O30" i="1"/>
  <c r="O31" i="1"/>
  <c r="C15" i="1"/>
  <c r="E16" i="1" s="1"/>
  <c r="O28" i="1"/>
  <c r="E17" i="1" l="1"/>
  <c r="C18" i="1"/>
</calcChain>
</file>

<file path=xl/sharedStrings.xml><?xml version="1.0" encoding="utf-8"?>
<sst xmlns="http://schemas.openxmlformats.org/spreadsheetml/2006/main" count="72" uniqueCount="51">
  <si>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</si>
  <si>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</si>
  <si>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</si>
  <si>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</si>
  <si>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</si>
  <si>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</si>
  <si>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</si>
  <si>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</si>
  <si>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</si>
  <si>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</si>
  <si>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</si>
  <si>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</si>
  <si>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</si>
  <si>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</si>
  <si>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</si>
  <si>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</si>
  <si>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</si>
  <si>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</si>
  <si>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</si>
  <si>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</si>
  <si>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</si>
  <si>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</si>
  <si>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</si>
  <si>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</si>
  <si>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</si>
  <si>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</si>
  <si>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</si>
  <si>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</si>
  <si>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</si>
  <si>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</si>
  <si>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</si>
  <si>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</si>
  <si>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</si>
  <si>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</si>
  <si>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</si>
  <si>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EW</t>
  </si>
  <si>
    <t>not avail.</t>
  </si>
  <si>
    <t>GCVS 4 Eph.</t>
  </si>
  <si>
    <t>EH Lyn / GSC 2495-1124</t>
  </si>
  <si>
    <t>GRAV</t>
  </si>
  <si>
    <t>OEJV 0107</t>
  </si>
  <si>
    <t>I</t>
  </si>
  <si>
    <t>OEJV</t>
  </si>
  <si>
    <t>Add cycle</t>
  </si>
  <si>
    <t>Old Cycle</t>
  </si>
  <si>
    <t>IBVS 5997</t>
  </si>
  <si>
    <t>IBVS 6010</t>
  </si>
  <si>
    <t>II</t>
  </si>
  <si>
    <t>IBVS 6033</t>
  </si>
  <si>
    <t>CCD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</si>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</sst>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8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0" borderId="6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0" fillId="0" borderId="1" xfId="0" applyBorder="1">
      <alignment vertical="top"/>
    </xf>
    <xf numFmtId="0" fontId="6" fillId="0" borderId="0" xfId="0" applyFont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1" fillId="3" borderId="0" xfId="0" applyFont="1" applyFill="1" applyAlignment="1">
      <alignment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EH Lyn -- O-C Diagr.</a:t>
            </a:r>
          </a:p>
        </c:rich>
      </c:tx>
      <c:layout>
        <c:manualLayout>
          <c:xMode val="edge"/>
          <c:yMode val="edge"/>
          <c:x val="0.381954887218045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GRAV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  <c:pt idx="2">
                    <c:v>3.2000000000000002E-3</c:v>
                  </c:pt>
                  <c:pt idx="3">
                    <c:v>4.1999999999999997E-3</c:v>
                  </c:pt>
                  <c:pt idx="4">
                    <c:v>3.0999999999999999E-3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1.1000000000000001E-3</c:v>
                  </c:pt>
                  <c:pt idx="10">
                    <c:v>1.5E-3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  <c:pt idx="2">
                    <c:v>3.2000000000000002E-3</c:v>
                  </c:pt>
                  <c:pt idx="3">
                    <c:v>4.1999999999999997E-3</c:v>
                  </c:pt>
                  <c:pt idx="4">
                    <c:v>3.0999999999999999E-3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1.1000000000000001E-3</c:v>
                  </c:pt>
                  <c:pt idx="10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6755</c:v>
                </c:pt>
                <c:pt idx="2">
                  <c:v>8875.5</c:v>
                </c:pt>
                <c:pt idx="3">
                  <c:v>8876</c:v>
                </c:pt>
                <c:pt idx="4">
                  <c:v>8876.5</c:v>
                </c:pt>
                <c:pt idx="5">
                  <c:v>9062.5</c:v>
                </c:pt>
                <c:pt idx="6">
                  <c:v>9935</c:v>
                </c:pt>
                <c:pt idx="7">
                  <c:v>9950</c:v>
                </c:pt>
                <c:pt idx="8">
                  <c:v>9953</c:v>
                </c:pt>
                <c:pt idx="9">
                  <c:v>9965.5</c:v>
                </c:pt>
                <c:pt idx="10">
                  <c:v>9977.5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44-4805-83CC-4C3E71582DB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3.2000000000000002E-3</c:v>
                  </c:pt>
                  <c:pt idx="3">
                    <c:v>4.1999999999999997E-3</c:v>
                  </c:pt>
                  <c:pt idx="4">
                    <c:v>3.0999999999999999E-3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1.1000000000000001E-3</c:v>
                  </c:pt>
                  <c:pt idx="10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3.2000000000000002E-3</c:v>
                  </c:pt>
                  <c:pt idx="3">
                    <c:v>4.1999999999999997E-3</c:v>
                  </c:pt>
                  <c:pt idx="4">
                    <c:v>3.0999999999999999E-3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1.1000000000000001E-3</c:v>
                  </c:pt>
                  <c:pt idx="10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6755</c:v>
                </c:pt>
                <c:pt idx="2">
                  <c:v>8875.5</c:v>
                </c:pt>
                <c:pt idx="3">
                  <c:v>8876</c:v>
                </c:pt>
                <c:pt idx="4">
                  <c:v>8876.5</c:v>
                </c:pt>
                <c:pt idx="5">
                  <c:v>9062.5</c:v>
                </c:pt>
                <c:pt idx="6">
                  <c:v>9935</c:v>
                </c:pt>
                <c:pt idx="7">
                  <c:v>9950</c:v>
                </c:pt>
                <c:pt idx="8">
                  <c:v>9953</c:v>
                </c:pt>
                <c:pt idx="9">
                  <c:v>9965.5</c:v>
                </c:pt>
                <c:pt idx="10">
                  <c:v>9977.5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-0.25446999999985565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44-4805-83CC-4C3E71582DB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3.2000000000000002E-3</c:v>
                  </c:pt>
                  <c:pt idx="3">
                    <c:v>4.1999999999999997E-3</c:v>
                  </c:pt>
                  <c:pt idx="4">
                    <c:v>3.0999999999999999E-3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1.1000000000000001E-3</c:v>
                  </c:pt>
                  <c:pt idx="10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3.2000000000000002E-3</c:v>
                  </c:pt>
                  <c:pt idx="3">
                    <c:v>4.1999999999999997E-3</c:v>
                  </c:pt>
                  <c:pt idx="4">
                    <c:v>3.0999999999999999E-3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1.1000000000000001E-3</c:v>
                  </c:pt>
                  <c:pt idx="10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6755</c:v>
                </c:pt>
                <c:pt idx="2">
                  <c:v>8875.5</c:v>
                </c:pt>
                <c:pt idx="3">
                  <c:v>8876</c:v>
                </c:pt>
                <c:pt idx="4">
                  <c:v>8876.5</c:v>
                </c:pt>
                <c:pt idx="5">
                  <c:v>9062.5</c:v>
                </c:pt>
                <c:pt idx="6">
                  <c:v>9935</c:v>
                </c:pt>
                <c:pt idx="7">
                  <c:v>9950</c:v>
                </c:pt>
                <c:pt idx="8">
                  <c:v>9953</c:v>
                </c:pt>
                <c:pt idx="9">
                  <c:v>9965.5</c:v>
                </c:pt>
                <c:pt idx="10">
                  <c:v>9977.5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-0.32519000000320375</c:v>
                </c:pt>
                <c:pt idx="3">
                  <c:v>-0.32788000000437023</c:v>
                </c:pt>
                <c:pt idx="4">
                  <c:v>-0.32957000000169501</c:v>
                </c:pt>
                <c:pt idx="5">
                  <c:v>-0.33555000000342261</c:v>
                </c:pt>
                <c:pt idx="6">
                  <c:v>-0.37090000000171131</c:v>
                </c:pt>
                <c:pt idx="7">
                  <c:v>-0.37070000000676373</c:v>
                </c:pt>
                <c:pt idx="8">
                  <c:v>-0.37114000000292435</c:v>
                </c:pt>
                <c:pt idx="9">
                  <c:v>-0.36639000000286615</c:v>
                </c:pt>
                <c:pt idx="10">
                  <c:v>-0.36755000000266591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44-4805-83CC-4C3E71582DB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3.2000000000000002E-3</c:v>
                  </c:pt>
                  <c:pt idx="3">
                    <c:v>4.1999999999999997E-3</c:v>
                  </c:pt>
                  <c:pt idx="4">
                    <c:v>3.0999999999999999E-3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1.1000000000000001E-3</c:v>
                  </c:pt>
                  <c:pt idx="10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3.2000000000000002E-3</c:v>
                  </c:pt>
                  <c:pt idx="3">
                    <c:v>4.1999999999999997E-3</c:v>
                  </c:pt>
                  <c:pt idx="4">
                    <c:v>3.0999999999999999E-3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1.1000000000000001E-3</c:v>
                  </c:pt>
                  <c:pt idx="10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6755</c:v>
                </c:pt>
                <c:pt idx="2">
                  <c:v>8875.5</c:v>
                </c:pt>
                <c:pt idx="3">
                  <c:v>8876</c:v>
                </c:pt>
                <c:pt idx="4">
                  <c:v>8876.5</c:v>
                </c:pt>
                <c:pt idx="5">
                  <c:v>9062.5</c:v>
                </c:pt>
                <c:pt idx="6">
                  <c:v>9935</c:v>
                </c:pt>
                <c:pt idx="7">
                  <c:v>9950</c:v>
                </c:pt>
                <c:pt idx="8">
                  <c:v>9953</c:v>
                </c:pt>
                <c:pt idx="9">
                  <c:v>9965.5</c:v>
                </c:pt>
                <c:pt idx="10">
                  <c:v>9977.5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44-4805-83CC-4C3E71582DB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3.2000000000000002E-3</c:v>
                  </c:pt>
                  <c:pt idx="3">
                    <c:v>4.1999999999999997E-3</c:v>
                  </c:pt>
                  <c:pt idx="4">
                    <c:v>3.0999999999999999E-3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1.1000000000000001E-3</c:v>
                  </c:pt>
                  <c:pt idx="10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3.2000000000000002E-3</c:v>
                  </c:pt>
                  <c:pt idx="3">
                    <c:v>4.1999999999999997E-3</c:v>
                  </c:pt>
                  <c:pt idx="4">
                    <c:v>3.0999999999999999E-3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1.1000000000000001E-3</c:v>
                  </c:pt>
                  <c:pt idx="10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6755</c:v>
                </c:pt>
                <c:pt idx="2">
                  <c:v>8875.5</c:v>
                </c:pt>
                <c:pt idx="3">
                  <c:v>8876</c:v>
                </c:pt>
                <c:pt idx="4">
                  <c:v>8876.5</c:v>
                </c:pt>
                <c:pt idx="5">
                  <c:v>9062.5</c:v>
                </c:pt>
                <c:pt idx="6">
                  <c:v>9935</c:v>
                </c:pt>
                <c:pt idx="7">
                  <c:v>9950</c:v>
                </c:pt>
                <c:pt idx="8">
                  <c:v>9953</c:v>
                </c:pt>
                <c:pt idx="9">
                  <c:v>9965.5</c:v>
                </c:pt>
                <c:pt idx="10">
                  <c:v>9977.5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144-4805-83CC-4C3E71582DB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3.2000000000000002E-3</c:v>
                  </c:pt>
                  <c:pt idx="3">
                    <c:v>4.1999999999999997E-3</c:v>
                  </c:pt>
                  <c:pt idx="4">
                    <c:v>3.0999999999999999E-3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1.1000000000000001E-3</c:v>
                  </c:pt>
                  <c:pt idx="10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3.2000000000000002E-3</c:v>
                  </c:pt>
                  <c:pt idx="3">
                    <c:v>4.1999999999999997E-3</c:v>
                  </c:pt>
                  <c:pt idx="4">
                    <c:v>3.0999999999999999E-3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1.1000000000000001E-3</c:v>
                  </c:pt>
                  <c:pt idx="10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6755</c:v>
                </c:pt>
                <c:pt idx="2">
                  <c:v>8875.5</c:v>
                </c:pt>
                <c:pt idx="3">
                  <c:v>8876</c:v>
                </c:pt>
                <c:pt idx="4">
                  <c:v>8876.5</c:v>
                </c:pt>
                <c:pt idx="5">
                  <c:v>9062.5</c:v>
                </c:pt>
                <c:pt idx="6">
                  <c:v>9935</c:v>
                </c:pt>
                <c:pt idx="7">
                  <c:v>9950</c:v>
                </c:pt>
                <c:pt idx="8">
                  <c:v>9953</c:v>
                </c:pt>
                <c:pt idx="9">
                  <c:v>9965.5</c:v>
                </c:pt>
                <c:pt idx="10">
                  <c:v>9977.5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144-4805-83CC-4C3E71582DB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3.2000000000000002E-3</c:v>
                  </c:pt>
                  <c:pt idx="3">
                    <c:v>4.1999999999999997E-3</c:v>
                  </c:pt>
                  <c:pt idx="4">
                    <c:v>3.0999999999999999E-3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1.1000000000000001E-3</c:v>
                  </c:pt>
                  <c:pt idx="10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3.2000000000000002E-3</c:v>
                  </c:pt>
                  <c:pt idx="3">
                    <c:v>4.1999999999999997E-3</c:v>
                  </c:pt>
                  <c:pt idx="4">
                    <c:v>3.0999999999999999E-3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1.1000000000000001E-3</c:v>
                  </c:pt>
                  <c:pt idx="10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6755</c:v>
                </c:pt>
                <c:pt idx="2">
                  <c:v>8875.5</c:v>
                </c:pt>
                <c:pt idx="3">
                  <c:v>8876</c:v>
                </c:pt>
                <c:pt idx="4">
                  <c:v>8876.5</c:v>
                </c:pt>
                <c:pt idx="5">
                  <c:v>9062.5</c:v>
                </c:pt>
                <c:pt idx="6">
                  <c:v>9935</c:v>
                </c:pt>
                <c:pt idx="7">
                  <c:v>9950</c:v>
                </c:pt>
                <c:pt idx="8">
                  <c:v>9953</c:v>
                </c:pt>
                <c:pt idx="9">
                  <c:v>9965.5</c:v>
                </c:pt>
                <c:pt idx="10">
                  <c:v>9977.5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144-4805-83CC-4C3E71582DB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6755</c:v>
                </c:pt>
                <c:pt idx="2">
                  <c:v>8875.5</c:v>
                </c:pt>
                <c:pt idx="3">
                  <c:v>8876</c:v>
                </c:pt>
                <c:pt idx="4">
                  <c:v>8876.5</c:v>
                </c:pt>
                <c:pt idx="5">
                  <c:v>9062.5</c:v>
                </c:pt>
                <c:pt idx="6">
                  <c:v>9935</c:v>
                </c:pt>
                <c:pt idx="7">
                  <c:v>9950</c:v>
                </c:pt>
                <c:pt idx="8">
                  <c:v>9953</c:v>
                </c:pt>
                <c:pt idx="9">
                  <c:v>9965.5</c:v>
                </c:pt>
                <c:pt idx="10">
                  <c:v>9977.5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-7.7077167142087788E-3</c:v>
                </c:pt>
                <c:pt idx="1">
                  <c:v>-0.25250704701682603</c:v>
                </c:pt>
                <c:pt idx="2">
                  <c:v>-0.32935338008961645</c:v>
                </c:pt>
                <c:pt idx="3">
                  <c:v>-0.32937149995122289</c:v>
                </c:pt>
                <c:pt idx="4">
                  <c:v>-0.32938961981282933</c:v>
                </c:pt>
                <c:pt idx="5">
                  <c:v>-0.33613020833041429</c:v>
                </c:pt>
                <c:pt idx="6">
                  <c:v>-0.3677493668336021</c:v>
                </c:pt>
                <c:pt idx="7">
                  <c:v>-0.36829296268179446</c:v>
                </c:pt>
                <c:pt idx="8">
                  <c:v>-0.36840168185143291</c:v>
                </c:pt>
                <c:pt idx="9">
                  <c:v>-0.36885467839159319</c:v>
                </c:pt>
                <c:pt idx="10">
                  <c:v>-0.36928955507014705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144-4805-83CC-4C3E71582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3481560"/>
        <c:axId val="1"/>
      </c:scatterChart>
      <c:valAx>
        <c:axId val="843481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34815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406015037593985"/>
          <c:y val="0.92397937099967764"/>
          <c:w val="0.6827067669172932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C102393-B288-56E1-67AB-F26F54E97A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38</v>
      </c>
      <c r="E1" s="4"/>
      <c r="F1" s="4"/>
      <c r="G1" s="5" t="s">
        <v>35</v>
      </c>
      <c r="H1" s="6" t="s">
        <v>39</v>
      </c>
      <c r="I1" s="3" t="s">
        <v>36</v>
      </c>
      <c r="J1" s="3" t="s">
        <v>36</v>
      </c>
      <c r="K1" s="7">
        <v>52728.3</v>
      </c>
      <c r="L1" s="7">
        <v>0.32678000000000001</v>
      </c>
    </row>
    <row r="2" spans="1:12" s="10" customFormat="1" ht="12.95" customHeight="1" x14ac:dyDescent="0.2">
      <c r="A2" s="10" t="s">
        <v>22</v>
      </c>
      <c r="B2" s="10" t="s">
        <v>35</v>
      </c>
      <c r="C2" s="11"/>
    </row>
    <row r="3" spans="1:12" s="10" customFormat="1" ht="12.95" customHeight="1" thickBot="1" x14ac:dyDescent="0.25"/>
    <row r="4" spans="1:12" s="10" customFormat="1" ht="12.95" customHeight="1" thickTop="1" thickBot="1" x14ac:dyDescent="0.25">
      <c r="A4" s="12" t="s">
        <v>37</v>
      </c>
      <c r="C4" s="13" t="s">
        <v>36</v>
      </c>
      <c r="D4" s="14" t="s">
        <v>36</v>
      </c>
      <c r="F4" s="15" t="str">
        <f>"F"&amp;E19</f>
        <v>F22</v>
      </c>
      <c r="G4" s="16" t="str">
        <f>"G"&amp;E19</f>
        <v>G22</v>
      </c>
    </row>
    <row r="5" spans="1:12" s="10" customFormat="1" ht="12.95" customHeight="1" thickTop="1" x14ac:dyDescent="0.2"/>
    <row r="6" spans="1:12" s="10" customFormat="1" ht="12.95" customHeight="1" x14ac:dyDescent="0.2">
      <c r="A6" s="17" t="s">
        <v>0</v>
      </c>
    </row>
    <row r="7" spans="1:12" s="10" customFormat="1" ht="12.95" customHeight="1" x14ac:dyDescent="0.2">
      <c r="A7" s="10" t="s">
        <v>1</v>
      </c>
      <c r="C7" s="10">
        <v>52728.3</v>
      </c>
      <c r="D7" s="39" t="s">
        <v>50</v>
      </c>
    </row>
    <row r="8" spans="1:12" s="10" customFormat="1" ht="12.95" customHeight="1" x14ac:dyDescent="0.2">
      <c r="A8" s="10" t="s">
        <v>2</v>
      </c>
      <c r="C8" s="10">
        <v>0.32678000000000001</v>
      </c>
      <c r="D8" s="18" t="s">
        <v>50</v>
      </c>
    </row>
    <row r="9" spans="1:12" s="10" customFormat="1" ht="12.95" customHeight="1" x14ac:dyDescent="0.2">
      <c r="A9" s="12" t="s">
        <v>28</v>
      </c>
      <c r="C9" s="19">
        <v>-9.5</v>
      </c>
      <c r="D9" s="10" t="s">
        <v>29</v>
      </c>
    </row>
    <row r="10" spans="1:12" s="10" customFormat="1" ht="12.95" customHeight="1" thickBot="1" x14ac:dyDescent="0.25">
      <c r="C10" s="20" t="s">
        <v>18</v>
      </c>
      <c r="D10" s="20" t="s">
        <v>19</v>
      </c>
    </row>
    <row r="11" spans="1:12" s="10" customFormat="1" ht="12.95" customHeight="1" x14ac:dyDescent="0.2">
      <c r="A11" s="10" t="s">
        <v>14</v>
      </c>
      <c r="C11" s="16">
        <f ca="1">INTERCEPT(INDIRECT($G$11):G992,INDIRECT($F$11):F992)</f>
        <v>-7.7077167142087788E-3</v>
      </c>
      <c r="D11" s="21"/>
      <c r="F11" s="15" t="str">
        <f>"F"&amp;E19</f>
        <v>F22</v>
      </c>
      <c r="G11" s="16" t="str">
        <f>"G"&amp;E19</f>
        <v>G22</v>
      </c>
    </row>
    <row r="12" spans="1:12" s="10" customFormat="1" ht="12.95" customHeight="1" x14ac:dyDescent="0.2">
      <c r="A12" s="10" t="s">
        <v>15</v>
      </c>
      <c r="C12" s="16">
        <f ca="1">SLOPE(INDIRECT($G$11):G992,INDIRECT($F$11):F992)</f>
        <v>-3.623972321282268E-5</v>
      </c>
      <c r="D12" s="21"/>
    </row>
    <row r="13" spans="1:12" s="10" customFormat="1" ht="12.95" customHeight="1" x14ac:dyDescent="0.2">
      <c r="A13" s="10" t="s">
        <v>17</v>
      </c>
      <c r="C13" s="21" t="s">
        <v>12</v>
      </c>
      <c r="D13" s="18" t="s">
        <v>43</v>
      </c>
      <c r="E13" s="19">
        <v>1</v>
      </c>
    </row>
    <row r="14" spans="1:12" s="10" customFormat="1" ht="12.95" customHeight="1" x14ac:dyDescent="0.2">
      <c r="D14" s="18" t="s">
        <v>30</v>
      </c>
      <c r="E14" s="22">
        <f ca="1">NOW()+15018.5+$C$9/24</f>
        <v>60358.815322453702</v>
      </c>
    </row>
    <row r="15" spans="1:12" s="10" customFormat="1" ht="12.95" customHeight="1" x14ac:dyDescent="0.2">
      <c r="A15" s="23" t="s">
        <v>16</v>
      </c>
      <c r="C15" s="24">
        <f ca="1">(C7+C11)+(C8+C12)*INT(MAX(F21:F3533))</f>
        <v>55988.214788564794</v>
      </c>
      <c r="D15" s="18" t="s">
        <v>44</v>
      </c>
      <c r="E15" s="22">
        <f ca="1">ROUND(2*(E14-$C$7)/$C$8,0)/2+E13</f>
        <v>23351.5</v>
      </c>
    </row>
    <row r="16" spans="1:12" s="10" customFormat="1" ht="12.95" customHeight="1" x14ac:dyDescent="0.2">
      <c r="A16" s="17" t="s">
        <v>3</v>
      </c>
      <c r="C16" s="25">
        <f ca="1">+C8+C12</f>
        <v>0.3267437602767872</v>
      </c>
      <c r="D16" s="18" t="s">
        <v>31</v>
      </c>
      <c r="E16" s="16">
        <f ca="1">ROUND(2*(E14-$C$15)/$C$16,0)/2+E13</f>
        <v>13377</v>
      </c>
    </row>
    <row r="17" spans="1:18" s="10" customFormat="1" ht="12.95" customHeight="1" thickBot="1" x14ac:dyDescent="0.25">
      <c r="A17" s="18" t="s">
        <v>27</v>
      </c>
      <c r="C17" s="10">
        <f>COUNT(C21:C2191)</f>
        <v>11</v>
      </c>
      <c r="D17" s="18" t="s">
        <v>32</v>
      </c>
      <c r="E17" s="26">
        <f ca="1">+$C$15+$C$16*E16-15018.5-$C$9/24</f>
        <v>45340.961903120711</v>
      </c>
    </row>
    <row r="18" spans="1:18" s="10" customFormat="1" ht="12.95" customHeight="1" thickTop="1" thickBot="1" x14ac:dyDescent="0.25">
      <c r="A18" s="17" t="s">
        <v>4</v>
      </c>
      <c r="C18" s="27">
        <f ca="1">+C15</f>
        <v>55988.214788564794</v>
      </c>
      <c r="D18" s="28">
        <f ca="1">+C16</f>
        <v>0.3267437602767872</v>
      </c>
      <c r="E18" s="29" t="s">
        <v>33</v>
      </c>
    </row>
    <row r="19" spans="1:18" s="10" customFormat="1" ht="12.95" customHeight="1" thickTop="1" x14ac:dyDescent="0.2">
      <c r="A19" s="30" t="s">
        <v>34</v>
      </c>
      <c r="E19" s="31">
        <v>22</v>
      </c>
    </row>
    <row r="20" spans="1:18" s="10" customFormat="1" ht="12.95" customHeight="1" thickBot="1" x14ac:dyDescent="0.25">
      <c r="A20" s="20" t="s">
        <v>5</v>
      </c>
      <c r="B20" s="20" t="s">
        <v>6</v>
      </c>
      <c r="C20" s="20" t="s">
        <v>7</v>
      </c>
      <c r="D20" s="20" t="s">
        <v>11</v>
      </c>
      <c r="E20" s="20" t="s">
        <v>8</v>
      </c>
      <c r="F20" s="20" t="s">
        <v>9</v>
      </c>
      <c r="G20" s="20" t="s">
        <v>10</v>
      </c>
      <c r="H20" s="32" t="s">
        <v>39</v>
      </c>
      <c r="I20" s="32" t="s">
        <v>42</v>
      </c>
      <c r="J20" s="32" t="s">
        <v>49</v>
      </c>
      <c r="K20" s="32" t="s">
        <v>23</v>
      </c>
      <c r="L20" s="32" t="s">
        <v>24</v>
      </c>
      <c r="M20" s="32" t="s">
        <v>25</v>
      </c>
      <c r="N20" s="32" t="s">
        <v>26</v>
      </c>
      <c r="O20" s="32" t="s">
        <v>21</v>
      </c>
      <c r="P20" s="33" t="s">
        <v>20</v>
      </c>
      <c r="Q20" s="20" t="s">
        <v>13</v>
      </c>
    </row>
    <row r="21" spans="1:18" s="10" customFormat="1" ht="12.95" customHeight="1" x14ac:dyDescent="0.2">
      <c r="A21" s="10" t="str">
        <f>$D$7</f>
        <v>VSX</v>
      </c>
      <c r="C21" s="11">
        <v>52728.3</v>
      </c>
      <c r="D21" s="11" t="s">
        <v>12</v>
      </c>
      <c r="E21" s="10">
        <f t="shared" ref="E21:E31" si="0">+(C21-C$7)/C$8</f>
        <v>0</v>
      </c>
      <c r="F21" s="10">
        <f>ROUND(2*E21,0)/2</f>
        <v>0</v>
      </c>
      <c r="G21" s="10">
        <f t="shared" ref="G21:G31" si="1">+C21-(C$7+F21*C$8)</f>
        <v>0</v>
      </c>
      <c r="H21" s="10">
        <f>+G21</f>
        <v>0</v>
      </c>
      <c r="O21" s="10">
        <f t="shared" ref="O21:O31" ca="1" si="2">+C$11+C$12*$F21</f>
        <v>-7.7077167142087788E-3</v>
      </c>
      <c r="Q21" s="34">
        <f t="shared" ref="Q21:Q31" si="3">+C21-15018.5</f>
        <v>37709.800000000003</v>
      </c>
    </row>
    <row r="22" spans="1:18" s="10" customFormat="1" ht="12.95" customHeight="1" x14ac:dyDescent="0.2">
      <c r="A22" s="10" t="s">
        <v>40</v>
      </c>
      <c r="B22" s="21" t="s">
        <v>41</v>
      </c>
      <c r="C22" s="11">
        <v>54935.444430000003</v>
      </c>
      <c r="D22" s="11">
        <v>1.2999999999999999E-3</v>
      </c>
      <c r="E22" s="10">
        <f t="shared" si="0"/>
        <v>6754.2212803721168</v>
      </c>
      <c r="F22" s="35">
        <f t="shared" ref="F22:F31" si="4">ROUND(2*E22,0)/2+1</f>
        <v>6755</v>
      </c>
      <c r="G22" s="10">
        <f t="shared" si="1"/>
        <v>-0.25446999999985565</v>
      </c>
      <c r="I22" s="10">
        <f>+G22</f>
        <v>-0.25446999999985565</v>
      </c>
      <c r="O22" s="10">
        <f t="shared" ca="1" si="2"/>
        <v>-0.25250704701682603</v>
      </c>
      <c r="Q22" s="34">
        <f t="shared" si="3"/>
        <v>39916.944430000003</v>
      </c>
      <c r="R22" s="10" t="str">
        <f>IF(ABS(C22-C21)&lt;0.00001,1,"")</f>
        <v/>
      </c>
    </row>
    <row r="23" spans="1:18" s="10" customFormat="1" ht="12.95" customHeight="1" x14ac:dyDescent="0.2">
      <c r="A23" s="8" t="s">
        <v>46</v>
      </c>
      <c r="B23" s="9" t="s">
        <v>47</v>
      </c>
      <c r="C23" s="8">
        <v>55628.310700000002</v>
      </c>
      <c r="D23" s="8">
        <v>3.2000000000000002E-3</v>
      </c>
      <c r="E23" s="10">
        <f t="shared" si="0"/>
        <v>8874.5048656588497</v>
      </c>
      <c r="F23" s="35">
        <f t="shared" si="4"/>
        <v>8875.5</v>
      </c>
      <c r="G23" s="10">
        <f t="shared" si="1"/>
        <v>-0.32519000000320375</v>
      </c>
      <c r="J23" s="10">
        <f t="shared" ref="J23:J31" si="5">+G23</f>
        <v>-0.32519000000320375</v>
      </c>
      <c r="O23" s="10">
        <f t="shared" ca="1" si="2"/>
        <v>-0.32935338008961645</v>
      </c>
      <c r="Q23" s="34">
        <f t="shared" si="3"/>
        <v>40609.810700000002</v>
      </c>
    </row>
    <row r="24" spans="1:18" s="10" customFormat="1" ht="12.95" customHeight="1" x14ac:dyDescent="0.2">
      <c r="A24" s="8" t="s">
        <v>46</v>
      </c>
      <c r="B24" s="9" t="s">
        <v>41</v>
      </c>
      <c r="C24" s="8">
        <v>55628.471400000002</v>
      </c>
      <c r="D24" s="8">
        <v>4.1999999999999997E-3</v>
      </c>
      <c r="E24" s="10">
        <f t="shared" si="0"/>
        <v>8874.996633820916</v>
      </c>
      <c r="F24" s="35">
        <f t="shared" si="4"/>
        <v>8876</v>
      </c>
      <c r="G24" s="10">
        <f t="shared" si="1"/>
        <v>-0.32788000000437023</v>
      </c>
      <c r="J24" s="10">
        <f t="shared" si="5"/>
        <v>-0.32788000000437023</v>
      </c>
      <c r="O24" s="10">
        <f t="shared" ca="1" si="2"/>
        <v>-0.32937149995122289</v>
      </c>
      <c r="Q24" s="34">
        <f t="shared" si="3"/>
        <v>40609.971400000002</v>
      </c>
    </row>
    <row r="25" spans="1:18" s="10" customFormat="1" ht="12.95" customHeight="1" x14ac:dyDescent="0.2">
      <c r="A25" s="8" t="s">
        <v>46</v>
      </c>
      <c r="B25" s="9" t="s">
        <v>47</v>
      </c>
      <c r="C25" s="8">
        <v>55628.633099999999</v>
      </c>
      <c r="D25" s="8">
        <v>3.0999999999999999E-3</v>
      </c>
      <c r="E25" s="10">
        <f t="shared" si="0"/>
        <v>8875.4914621457738</v>
      </c>
      <c r="F25" s="35">
        <f t="shared" si="4"/>
        <v>8876.5</v>
      </c>
      <c r="G25" s="10">
        <f t="shared" si="1"/>
        <v>-0.32957000000169501</v>
      </c>
      <c r="J25" s="10">
        <f t="shared" si="5"/>
        <v>-0.32957000000169501</v>
      </c>
      <c r="O25" s="10">
        <f t="shared" ca="1" si="2"/>
        <v>-0.32938961981282933</v>
      </c>
      <c r="Q25" s="34">
        <f t="shared" si="3"/>
        <v>40610.133099999999</v>
      </c>
    </row>
    <row r="26" spans="1:18" s="10" customFormat="1" ht="12.95" customHeight="1" x14ac:dyDescent="0.2">
      <c r="A26" s="8" t="s">
        <v>45</v>
      </c>
      <c r="B26" s="9" t="s">
        <v>41</v>
      </c>
      <c r="C26" s="8">
        <v>55689.408199999998</v>
      </c>
      <c r="D26" s="8">
        <v>1.4E-3</v>
      </c>
      <c r="E26" s="10">
        <f t="shared" si="0"/>
        <v>9061.4731623722237</v>
      </c>
      <c r="F26" s="35">
        <f t="shared" si="4"/>
        <v>9062.5</v>
      </c>
      <c r="G26" s="10">
        <f t="shared" si="1"/>
        <v>-0.33555000000342261</v>
      </c>
      <c r="J26" s="10">
        <f t="shared" si="5"/>
        <v>-0.33555000000342261</v>
      </c>
      <c r="O26" s="10">
        <f t="shared" ca="1" si="2"/>
        <v>-0.33613020833041429</v>
      </c>
      <c r="Q26" s="34">
        <f t="shared" si="3"/>
        <v>40670.908199999998</v>
      </c>
    </row>
    <row r="27" spans="1:18" s="10" customFormat="1" ht="12.95" customHeight="1" x14ac:dyDescent="0.2">
      <c r="A27" s="36" t="s">
        <v>48</v>
      </c>
      <c r="B27" s="37" t="s">
        <v>41</v>
      </c>
      <c r="C27" s="38">
        <v>55974.488400000002</v>
      </c>
      <c r="D27" s="38">
        <v>1.4E-3</v>
      </c>
      <c r="E27" s="10">
        <f t="shared" si="0"/>
        <v>9933.8649856172324</v>
      </c>
      <c r="F27" s="35">
        <f t="shared" si="4"/>
        <v>9935</v>
      </c>
      <c r="G27" s="10">
        <f t="shared" si="1"/>
        <v>-0.37090000000171131</v>
      </c>
      <c r="J27" s="10">
        <f t="shared" si="5"/>
        <v>-0.37090000000171131</v>
      </c>
      <c r="O27" s="10">
        <f t="shared" ca="1" si="2"/>
        <v>-0.3677493668336021</v>
      </c>
      <c r="Q27" s="34">
        <f t="shared" si="3"/>
        <v>40955.988400000002</v>
      </c>
    </row>
    <row r="28" spans="1:18" s="10" customFormat="1" ht="12.95" customHeight="1" x14ac:dyDescent="0.2">
      <c r="A28" s="36" t="s">
        <v>48</v>
      </c>
      <c r="B28" s="37" t="s">
        <v>41</v>
      </c>
      <c r="C28" s="38">
        <v>55979.390299999999</v>
      </c>
      <c r="D28" s="38">
        <v>5.0000000000000001E-4</v>
      </c>
      <c r="E28" s="10">
        <f t="shared" si="0"/>
        <v>9948.865597649783</v>
      </c>
      <c r="F28" s="35">
        <f t="shared" si="4"/>
        <v>9950</v>
      </c>
      <c r="G28" s="10">
        <f t="shared" si="1"/>
        <v>-0.37070000000676373</v>
      </c>
      <c r="J28" s="10">
        <f t="shared" si="5"/>
        <v>-0.37070000000676373</v>
      </c>
      <c r="O28" s="10">
        <f t="shared" ca="1" si="2"/>
        <v>-0.36829296268179446</v>
      </c>
      <c r="Q28" s="34">
        <f t="shared" si="3"/>
        <v>40960.890299999999</v>
      </c>
    </row>
    <row r="29" spans="1:18" s="10" customFormat="1" ht="12.95" customHeight="1" x14ac:dyDescent="0.2">
      <c r="A29" s="36" t="s">
        <v>48</v>
      </c>
      <c r="B29" s="37" t="s">
        <v>41</v>
      </c>
      <c r="C29" s="38">
        <v>55980.370199999998</v>
      </c>
      <c r="D29" s="38">
        <v>2.9999999999999997E-4</v>
      </c>
      <c r="E29" s="10">
        <f t="shared" si="0"/>
        <v>9951.8642511781454</v>
      </c>
      <c r="F29" s="35">
        <f t="shared" si="4"/>
        <v>9953</v>
      </c>
      <c r="G29" s="10">
        <f t="shared" si="1"/>
        <v>-0.37114000000292435</v>
      </c>
      <c r="J29" s="10">
        <f t="shared" si="5"/>
        <v>-0.37114000000292435</v>
      </c>
      <c r="O29" s="10">
        <f t="shared" ca="1" si="2"/>
        <v>-0.36840168185143291</v>
      </c>
      <c r="Q29" s="34">
        <f t="shared" si="3"/>
        <v>40961.870199999998</v>
      </c>
    </row>
    <row r="30" spans="1:18" s="10" customFormat="1" ht="12.95" customHeight="1" x14ac:dyDescent="0.2">
      <c r="A30" s="36" t="s">
        <v>48</v>
      </c>
      <c r="B30" s="37" t="s">
        <v>47</v>
      </c>
      <c r="C30" s="38">
        <v>55984.459699999999</v>
      </c>
      <c r="D30" s="38">
        <v>1.1000000000000001E-3</v>
      </c>
      <c r="E30" s="10">
        <f t="shared" si="0"/>
        <v>9964.3787869514545</v>
      </c>
      <c r="F30" s="35">
        <f t="shared" si="4"/>
        <v>9965.5</v>
      </c>
      <c r="G30" s="10">
        <f t="shared" si="1"/>
        <v>-0.36639000000286615</v>
      </c>
      <c r="J30" s="10">
        <f t="shared" si="5"/>
        <v>-0.36639000000286615</v>
      </c>
      <c r="O30" s="10">
        <f t="shared" ca="1" si="2"/>
        <v>-0.36885467839159319</v>
      </c>
      <c r="Q30" s="34">
        <f t="shared" si="3"/>
        <v>40965.959699999999</v>
      </c>
    </row>
    <row r="31" spans="1:18" s="10" customFormat="1" ht="12.95" customHeight="1" x14ac:dyDescent="0.2">
      <c r="A31" s="36" t="s">
        <v>48</v>
      </c>
      <c r="B31" s="37" t="s">
        <v>47</v>
      </c>
      <c r="C31" s="38">
        <v>55988.3799</v>
      </c>
      <c r="D31" s="38">
        <v>1.5E-3</v>
      </c>
      <c r="E31" s="10">
        <f t="shared" si="0"/>
        <v>9976.3752371626069</v>
      </c>
      <c r="F31" s="35">
        <f t="shared" si="4"/>
        <v>9977.5</v>
      </c>
      <c r="G31" s="10">
        <f t="shared" si="1"/>
        <v>-0.36755000000266591</v>
      </c>
      <c r="J31" s="10">
        <f t="shared" si="5"/>
        <v>-0.36755000000266591</v>
      </c>
      <c r="O31" s="10">
        <f t="shared" ca="1" si="2"/>
        <v>-0.36928955507014705</v>
      </c>
      <c r="Q31" s="34">
        <f t="shared" si="3"/>
        <v>40969.8799</v>
      </c>
    </row>
    <row r="32" spans="1:18" s="10" customFormat="1" ht="12.95" customHeight="1" x14ac:dyDescent="0.2">
      <c r="C32" s="11"/>
      <c r="D32" s="11"/>
      <c r="Q32" s="34"/>
    </row>
    <row r="33" spans="3:17" s="10" customFormat="1" ht="12.95" customHeight="1" x14ac:dyDescent="0.2">
      <c r="C33" s="11"/>
      <c r="D33" s="11"/>
      <c r="Q33" s="34"/>
    </row>
    <row r="34" spans="3:17" s="10" customFormat="1" ht="12.95" customHeight="1" x14ac:dyDescent="0.2">
      <c r="C34" s="11"/>
      <c r="D34" s="11"/>
    </row>
    <row r="35" spans="3:17" s="10" customFormat="1" ht="12.95" customHeight="1" x14ac:dyDescent="0.2">
      <c r="C35" s="11"/>
      <c r="D35" s="11"/>
    </row>
    <row r="36" spans="3:17" s="10" customFormat="1" ht="12.95" customHeight="1" x14ac:dyDescent="0.2">
      <c r="C36" s="11"/>
      <c r="D36" s="11"/>
    </row>
    <row r="37" spans="3:17" s="10" customFormat="1" ht="12.95" customHeight="1" x14ac:dyDescent="0.2">
      <c r="C37" s="11"/>
      <c r="D37" s="11"/>
    </row>
    <row r="38" spans="3:17" s="10" customFormat="1" ht="12.95" customHeight="1" x14ac:dyDescent="0.2">
      <c r="C38" s="11"/>
      <c r="D38" s="11"/>
    </row>
    <row r="39" spans="3:17" s="10" customFormat="1" ht="12.95" customHeight="1" x14ac:dyDescent="0.2">
      <c r="C39" s="11"/>
      <c r="D39" s="11"/>
    </row>
    <row r="40" spans="3:17" s="10" customFormat="1" ht="12.95" customHeight="1" x14ac:dyDescent="0.2">
      <c r="C40" s="11"/>
      <c r="D40" s="11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2024-02-18T06:34:03Z</dcterms:modified>
</cp:coreProperties>
</file>