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49E437-3810-4421-A206-131D799980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148" i="1" l="1"/>
  <c r="C7" i="1"/>
  <c r="E148" i="1"/>
  <c r="F148" i="1"/>
  <c r="C8" i="1"/>
  <c r="E114" i="1"/>
  <c r="F114" i="1"/>
  <c r="E113" i="1"/>
  <c r="F113" i="1"/>
  <c r="G113" i="1"/>
  <c r="I113" i="1"/>
  <c r="D11" i="1"/>
  <c r="D12" i="1"/>
  <c r="E116" i="1"/>
  <c r="F116" i="1"/>
  <c r="G116" i="1"/>
  <c r="E118" i="1"/>
  <c r="F118" i="1"/>
  <c r="G118" i="1"/>
  <c r="K118" i="1"/>
  <c r="E119" i="1"/>
  <c r="F119" i="1"/>
  <c r="E121" i="1"/>
  <c r="F121" i="1"/>
  <c r="G121" i="1"/>
  <c r="I121" i="1"/>
  <c r="E123" i="1"/>
  <c r="F123" i="1"/>
  <c r="G123" i="1"/>
  <c r="K123" i="1"/>
  <c r="E125" i="1"/>
  <c r="F125" i="1"/>
  <c r="G125" i="1"/>
  <c r="J125" i="1"/>
  <c r="E128" i="1"/>
  <c r="F128" i="1"/>
  <c r="G128" i="1"/>
  <c r="K128" i="1"/>
  <c r="E130" i="1"/>
  <c r="F130" i="1"/>
  <c r="G130" i="1"/>
  <c r="K130" i="1"/>
  <c r="E132" i="1"/>
  <c r="F132" i="1"/>
  <c r="G132" i="1"/>
  <c r="K132" i="1"/>
  <c r="E136" i="1"/>
  <c r="F136" i="1"/>
  <c r="G136" i="1"/>
  <c r="J136" i="1"/>
  <c r="E138" i="1"/>
  <c r="F138" i="1"/>
  <c r="G138" i="1"/>
  <c r="K138" i="1"/>
  <c r="E140" i="1"/>
  <c r="F140" i="1"/>
  <c r="G140" i="1"/>
  <c r="K140" i="1"/>
  <c r="E142" i="1"/>
  <c r="F142" i="1"/>
  <c r="G142" i="1"/>
  <c r="J142" i="1"/>
  <c r="E144" i="1"/>
  <c r="F144" i="1"/>
  <c r="G144" i="1"/>
  <c r="K144" i="1"/>
  <c r="E146" i="1"/>
  <c r="F146" i="1"/>
  <c r="G146" i="1"/>
  <c r="J146" i="1"/>
  <c r="D9" i="1"/>
  <c r="C9" i="1"/>
  <c r="E9" i="1"/>
  <c r="E127" i="1"/>
  <c r="F127" i="1"/>
  <c r="D13" i="1"/>
  <c r="Q147" i="1"/>
  <c r="E24" i="1"/>
  <c r="F24" i="1"/>
  <c r="E25" i="1"/>
  <c r="F25" i="1"/>
  <c r="E27" i="1"/>
  <c r="F27" i="1"/>
  <c r="G27" i="1"/>
  <c r="H27" i="1"/>
  <c r="E28" i="1"/>
  <c r="F28" i="1"/>
  <c r="G28" i="1"/>
  <c r="E29" i="1"/>
  <c r="F29" i="1"/>
  <c r="G29" i="1"/>
  <c r="H29" i="1"/>
  <c r="E32" i="1"/>
  <c r="F32" i="1"/>
  <c r="E33" i="1"/>
  <c r="F33" i="1"/>
  <c r="E35" i="1"/>
  <c r="F35" i="1"/>
  <c r="G35" i="1"/>
  <c r="H35" i="1"/>
  <c r="E37" i="1"/>
  <c r="F37" i="1"/>
  <c r="G37" i="1"/>
  <c r="H3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82" i="1"/>
  <c r="Q104" i="1"/>
  <c r="Q118" i="1"/>
  <c r="Q123" i="1"/>
  <c r="Q131" i="1"/>
  <c r="Q132" i="1"/>
  <c r="Q133" i="1"/>
  <c r="Q134" i="1"/>
  <c r="Q140" i="1"/>
  <c r="Q141" i="1"/>
  <c r="Q143" i="1"/>
  <c r="G102" i="3"/>
  <c r="C102" i="3"/>
  <c r="E102" i="3"/>
  <c r="G101" i="3"/>
  <c r="C101" i="3"/>
  <c r="G100" i="3"/>
  <c r="C100" i="3"/>
  <c r="E100" i="3"/>
  <c r="G132" i="3"/>
  <c r="C132" i="3"/>
  <c r="G99" i="3"/>
  <c r="C99" i="3"/>
  <c r="G131" i="3"/>
  <c r="C131" i="3"/>
  <c r="E131" i="3"/>
  <c r="G130" i="3"/>
  <c r="C130" i="3"/>
  <c r="E130" i="3"/>
  <c r="G98" i="3"/>
  <c r="C98" i="3"/>
  <c r="G97" i="3"/>
  <c r="C97" i="3"/>
  <c r="E97" i="3"/>
  <c r="G96" i="3"/>
  <c r="C96" i="3"/>
  <c r="G95" i="3"/>
  <c r="C95" i="3"/>
  <c r="E95" i="3"/>
  <c r="G94" i="3"/>
  <c r="C94" i="3"/>
  <c r="G129" i="3"/>
  <c r="C129" i="3"/>
  <c r="G128" i="3"/>
  <c r="C128" i="3"/>
  <c r="G127" i="3"/>
  <c r="C127" i="3"/>
  <c r="E127" i="3"/>
  <c r="G126" i="3"/>
  <c r="C126" i="3"/>
  <c r="G93" i="3"/>
  <c r="C93" i="3"/>
  <c r="G92" i="3"/>
  <c r="C92" i="3"/>
  <c r="E92" i="3"/>
  <c r="G125" i="3"/>
  <c r="C125" i="3"/>
  <c r="E125" i="3"/>
  <c r="G91" i="3"/>
  <c r="C91" i="3"/>
  <c r="E91" i="3"/>
  <c r="G90" i="3"/>
  <c r="C90" i="3"/>
  <c r="E90" i="3"/>
  <c r="G89" i="3"/>
  <c r="C89" i="3"/>
  <c r="E89" i="3"/>
  <c r="G124" i="3"/>
  <c r="C124" i="3"/>
  <c r="E124" i="3"/>
  <c r="G88" i="3"/>
  <c r="C88" i="3"/>
  <c r="G87" i="3"/>
  <c r="C87" i="3"/>
  <c r="E87" i="3"/>
  <c r="G86" i="3"/>
  <c r="C86" i="3"/>
  <c r="G85" i="3"/>
  <c r="C85" i="3"/>
  <c r="E85" i="3"/>
  <c r="G123" i="3"/>
  <c r="C123" i="3"/>
  <c r="E123" i="3"/>
  <c r="G84" i="3"/>
  <c r="C84" i="3"/>
  <c r="G83" i="3"/>
  <c r="C83" i="3"/>
  <c r="E83" i="3"/>
  <c r="G82" i="3"/>
  <c r="C82" i="3"/>
  <c r="G81" i="3"/>
  <c r="C81" i="3"/>
  <c r="E81" i="3"/>
  <c r="G80" i="3"/>
  <c r="C80" i="3"/>
  <c r="E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122" i="3"/>
  <c r="C122" i="3"/>
  <c r="G71" i="3"/>
  <c r="C71" i="3"/>
  <c r="E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E59" i="3"/>
  <c r="G58" i="3"/>
  <c r="C58" i="3"/>
  <c r="G57" i="3"/>
  <c r="C57" i="3"/>
  <c r="G56" i="3"/>
  <c r="C56" i="3"/>
  <c r="G55" i="3"/>
  <c r="C55" i="3"/>
  <c r="E55" i="3"/>
  <c r="G54" i="3"/>
  <c r="C54" i="3"/>
  <c r="E86" i="1"/>
  <c r="E54" i="3"/>
  <c r="G53" i="3"/>
  <c r="C53" i="3"/>
  <c r="E85" i="1"/>
  <c r="F85" i="1"/>
  <c r="G52" i="3"/>
  <c r="C52" i="3"/>
  <c r="E84" i="1"/>
  <c r="F84" i="1"/>
  <c r="G51" i="3"/>
  <c r="C51" i="3"/>
  <c r="E51" i="3"/>
  <c r="E83" i="1"/>
  <c r="G121" i="3"/>
  <c r="C121" i="3"/>
  <c r="G50" i="3"/>
  <c r="C50" i="3"/>
  <c r="G49" i="3"/>
  <c r="C49" i="3"/>
  <c r="G48" i="3"/>
  <c r="C48" i="3"/>
  <c r="G47" i="3"/>
  <c r="C47" i="3"/>
  <c r="E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E38" i="3"/>
  <c r="E66" i="1"/>
  <c r="F66" i="1"/>
  <c r="G66" i="1"/>
  <c r="I66" i="1"/>
  <c r="G37" i="3"/>
  <c r="C37" i="3"/>
  <c r="G36" i="3"/>
  <c r="C36" i="3"/>
  <c r="E64" i="1"/>
  <c r="G35" i="3"/>
  <c r="C35" i="3"/>
  <c r="G34" i="3"/>
  <c r="C34" i="3"/>
  <c r="E34" i="3"/>
  <c r="E62" i="1"/>
  <c r="G33" i="3"/>
  <c r="C33" i="3"/>
  <c r="G32" i="3"/>
  <c r="C32" i="3"/>
  <c r="G31" i="3"/>
  <c r="C31" i="3"/>
  <c r="G30" i="3"/>
  <c r="C30" i="3"/>
  <c r="E30" i="3"/>
  <c r="E58" i="1"/>
  <c r="G29" i="3"/>
  <c r="C29" i="3"/>
  <c r="E29" i="3"/>
  <c r="G28" i="3"/>
  <c r="C28" i="3"/>
  <c r="E56" i="1"/>
  <c r="F56" i="1"/>
  <c r="G27" i="3"/>
  <c r="C27" i="3"/>
  <c r="G26" i="3"/>
  <c r="C26" i="3"/>
  <c r="E26" i="3"/>
  <c r="E54" i="1"/>
  <c r="G25" i="3"/>
  <c r="C25" i="3"/>
  <c r="G24" i="3"/>
  <c r="C24" i="3"/>
  <c r="E52" i="1"/>
  <c r="F52" i="1"/>
  <c r="G23" i="3"/>
  <c r="C23" i="3"/>
  <c r="G22" i="3"/>
  <c r="C22" i="3"/>
  <c r="E50" i="1"/>
  <c r="F50" i="1"/>
  <c r="G21" i="3"/>
  <c r="C21" i="3"/>
  <c r="G20" i="3"/>
  <c r="C20" i="3"/>
  <c r="E48" i="1"/>
  <c r="F48" i="1"/>
  <c r="G48" i="1"/>
  <c r="I48" i="1"/>
  <c r="G19" i="3"/>
  <c r="C19" i="3"/>
  <c r="E47" i="1"/>
  <c r="G18" i="3"/>
  <c r="C18" i="3"/>
  <c r="E18" i="3"/>
  <c r="E46" i="1"/>
  <c r="F46" i="1"/>
  <c r="G46" i="1"/>
  <c r="G17" i="3"/>
  <c r="C17" i="3"/>
  <c r="G16" i="3"/>
  <c r="C16" i="3"/>
  <c r="E16" i="3"/>
  <c r="E44" i="1"/>
  <c r="F44" i="1"/>
  <c r="G15" i="3"/>
  <c r="C15" i="3"/>
  <c r="G14" i="3"/>
  <c r="C14" i="3"/>
  <c r="E42" i="1"/>
  <c r="G13" i="3"/>
  <c r="C13" i="3"/>
  <c r="G12" i="3"/>
  <c r="C12" i="3"/>
  <c r="E12" i="3"/>
  <c r="E40" i="1"/>
  <c r="F40" i="1"/>
  <c r="G11" i="3"/>
  <c r="C11" i="3"/>
  <c r="E39" i="1"/>
  <c r="F39" i="1"/>
  <c r="G39" i="1"/>
  <c r="I39" i="1"/>
  <c r="G120" i="3"/>
  <c r="C120" i="3"/>
  <c r="G119" i="3"/>
  <c r="C119" i="3"/>
  <c r="G118" i="3"/>
  <c r="C118" i="3"/>
  <c r="G117" i="3"/>
  <c r="C117" i="3"/>
  <c r="E117" i="3"/>
  <c r="G116" i="3"/>
  <c r="C116" i="3"/>
  <c r="G115" i="3"/>
  <c r="C115" i="3"/>
  <c r="E115" i="3"/>
  <c r="G114" i="3"/>
  <c r="C114" i="3"/>
  <c r="E114" i="3"/>
  <c r="G113" i="3"/>
  <c r="C113" i="3"/>
  <c r="G112" i="3"/>
  <c r="C112" i="3"/>
  <c r="G111" i="3"/>
  <c r="C111" i="3"/>
  <c r="G110" i="3"/>
  <c r="C110" i="3"/>
  <c r="E110" i="3"/>
  <c r="G109" i="3"/>
  <c r="C109" i="3"/>
  <c r="E109" i="3"/>
  <c r="G108" i="3"/>
  <c r="C108" i="3"/>
  <c r="G107" i="3"/>
  <c r="C107" i="3"/>
  <c r="E107" i="3"/>
  <c r="G106" i="3"/>
  <c r="C106" i="3"/>
  <c r="G105" i="3"/>
  <c r="C105" i="3"/>
  <c r="G104" i="3"/>
  <c r="C104" i="3"/>
  <c r="G103" i="3"/>
  <c r="C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132" i="3"/>
  <c r="B132" i="3"/>
  <c r="D132" i="3"/>
  <c r="A132" i="3"/>
  <c r="H99" i="3"/>
  <c r="B99" i="3"/>
  <c r="D99" i="3"/>
  <c r="A99" i="3"/>
  <c r="H131" i="3"/>
  <c r="B131" i="3"/>
  <c r="D131" i="3"/>
  <c r="A131" i="3"/>
  <c r="H130" i="3"/>
  <c r="B130" i="3"/>
  <c r="D130" i="3"/>
  <c r="A130" i="3"/>
  <c r="H98" i="3"/>
  <c r="B98" i="3"/>
  <c r="D98" i="3"/>
  <c r="A98" i="3"/>
  <c r="H97" i="3"/>
  <c r="B97" i="3"/>
  <c r="D97" i="3"/>
  <c r="A97" i="3"/>
  <c r="H96" i="3"/>
  <c r="B96" i="3"/>
  <c r="D96" i="3"/>
  <c r="A96" i="3"/>
  <c r="H95" i="3"/>
  <c r="B95" i="3"/>
  <c r="D95" i="3"/>
  <c r="A95" i="3"/>
  <c r="H94" i="3"/>
  <c r="B94" i="3"/>
  <c r="D94" i="3"/>
  <c r="A94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93" i="3"/>
  <c r="B93" i="3"/>
  <c r="D93" i="3"/>
  <c r="A93" i="3"/>
  <c r="H92" i="3"/>
  <c r="B92" i="3"/>
  <c r="D92" i="3"/>
  <c r="A92" i="3"/>
  <c r="H125" i="3"/>
  <c r="B125" i="3"/>
  <c r="D125" i="3"/>
  <c r="A125" i="3"/>
  <c r="H91" i="3"/>
  <c r="B91" i="3"/>
  <c r="D91" i="3"/>
  <c r="A91" i="3"/>
  <c r="H90" i="3"/>
  <c r="B90" i="3"/>
  <c r="D90" i="3"/>
  <c r="A90" i="3"/>
  <c r="H89" i="3"/>
  <c r="B89" i="3"/>
  <c r="D89" i="3"/>
  <c r="A89" i="3"/>
  <c r="H124" i="3"/>
  <c r="B124" i="3"/>
  <c r="D124" i="3"/>
  <c r="A124" i="3"/>
  <c r="H88" i="3"/>
  <c r="B88" i="3"/>
  <c r="D88" i="3"/>
  <c r="A88" i="3"/>
  <c r="H87" i="3"/>
  <c r="B87" i="3"/>
  <c r="D87" i="3"/>
  <c r="A87" i="3"/>
  <c r="H86" i="3"/>
  <c r="B86" i="3"/>
  <c r="D86" i="3"/>
  <c r="A86" i="3"/>
  <c r="H85" i="3"/>
  <c r="B85" i="3"/>
  <c r="D85" i="3"/>
  <c r="A85" i="3"/>
  <c r="H123" i="3"/>
  <c r="B123" i="3"/>
  <c r="D123" i="3"/>
  <c r="A123" i="3"/>
  <c r="H84" i="3"/>
  <c r="B84" i="3"/>
  <c r="D84" i="3"/>
  <c r="A84" i="3"/>
  <c r="H83" i="3"/>
  <c r="B83" i="3"/>
  <c r="D83" i="3"/>
  <c r="A83" i="3"/>
  <c r="H82" i="3"/>
  <c r="B82" i="3"/>
  <c r="D82" i="3"/>
  <c r="A82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122" i="3"/>
  <c r="B122" i="3"/>
  <c r="D122" i="3"/>
  <c r="A12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F63" i="3"/>
  <c r="D63" i="3"/>
  <c r="A63" i="3"/>
  <c r="H62" i="3"/>
  <c r="B62" i="3"/>
  <c r="F62" i="3"/>
  <c r="D62" i="3"/>
  <c r="A62" i="3"/>
  <c r="H61" i="3"/>
  <c r="B61" i="3"/>
  <c r="F61" i="3"/>
  <c r="D61" i="3"/>
  <c r="A61" i="3"/>
  <c r="H60" i="3"/>
  <c r="B60" i="3"/>
  <c r="F60" i="3"/>
  <c r="D60" i="3"/>
  <c r="A60" i="3"/>
  <c r="H59" i="3"/>
  <c r="F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B51" i="3"/>
  <c r="D51" i="3"/>
  <c r="A51" i="3"/>
  <c r="H121" i="3"/>
  <c r="B121" i="3"/>
  <c r="D121" i="3"/>
  <c r="A121" i="3"/>
  <c r="H50" i="3"/>
  <c r="B50" i="3"/>
  <c r="D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120" i="3"/>
  <c r="D120" i="3"/>
  <c r="B120" i="3"/>
  <c r="A120" i="3"/>
  <c r="H119" i="3"/>
  <c r="B119" i="3"/>
  <c r="D119" i="3"/>
  <c r="A119" i="3"/>
  <c r="H118" i="3"/>
  <c r="D118" i="3"/>
  <c r="B118" i="3"/>
  <c r="A118" i="3"/>
  <c r="H117" i="3"/>
  <c r="B117" i="3"/>
  <c r="D117" i="3"/>
  <c r="A117" i="3"/>
  <c r="H116" i="3"/>
  <c r="D116" i="3"/>
  <c r="B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D110" i="3"/>
  <c r="B110" i="3"/>
  <c r="A110" i="3"/>
  <c r="H109" i="3"/>
  <c r="B109" i="3"/>
  <c r="D109" i="3"/>
  <c r="A109" i="3"/>
  <c r="H108" i="3"/>
  <c r="D108" i="3"/>
  <c r="B108" i="3"/>
  <c r="A108" i="3"/>
  <c r="H107" i="3"/>
  <c r="B107" i="3"/>
  <c r="D107" i="3"/>
  <c r="A107" i="3"/>
  <c r="H106" i="3"/>
  <c r="B106" i="3"/>
  <c r="D106" i="3"/>
  <c r="A106" i="3"/>
  <c r="H105" i="3"/>
  <c r="B105" i="3"/>
  <c r="D105" i="3"/>
  <c r="A105" i="3"/>
  <c r="H104" i="3"/>
  <c r="D104" i="3"/>
  <c r="B104" i="3"/>
  <c r="A104" i="3"/>
  <c r="H103" i="3"/>
  <c r="B103" i="3"/>
  <c r="D103" i="3"/>
  <c r="A103" i="3"/>
  <c r="P146" i="1"/>
  <c r="S146" i="1" s="1"/>
  <c r="Q146" i="1"/>
  <c r="Q145" i="1"/>
  <c r="P121" i="1"/>
  <c r="S121" i="1" s="1"/>
  <c r="Q121" i="1"/>
  <c r="Q144" i="1"/>
  <c r="Q142" i="1"/>
  <c r="P138" i="1"/>
  <c r="S138" i="1" s="1"/>
  <c r="Q138" i="1"/>
  <c r="Q139" i="1"/>
  <c r="G40" i="1"/>
  <c r="F42" i="1"/>
  <c r="G44" i="1"/>
  <c r="I44" i="1"/>
  <c r="F47" i="1"/>
  <c r="P47" i="1"/>
  <c r="F54" i="1"/>
  <c r="G54" i="1"/>
  <c r="I54" i="1"/>
  <c r="F58" i="1"/>
  <c r="P58" i="1"/>
  <c r="S58" i="1"/>
  <c r="F62" i="1"/>
  <c r="G62" i="1"/>
  <c r="F64" i="1"/>
  <c r="G64" i="1"/>
  <c r="E76" i="1"/>
  <c r="F76" i="1"/>
  <c r="P76" i="1"/>
  <c r="S76" i="1"/>
  <c r="E78" i="1"/>
  <c r="F78" i="1"/>
  <c r="P78" i="1"/>
  <c r="S78" i="1"/>
  <c r="E81" i="1"/>
  <c r="F81" i="1"/>
  <c r="G81" i="1"/>
  <c r="F83" i="1"/>
  <c r="F86" i="1"/>
  <c r="G86" i="1"/>
  <c r="I86" i="1"/>
  <c r="F16" i="1"/>
  <c r="Q137" i="1"/>
  <c r="Q136" i="1"/>
  <c r="Q135" i="1"/>
  <c r="P127" i="1"/>
  <c r="S127" i="1" s="1"/>
  <c r="Q127" i="1"/>
  <c r="Q129" i="1"/>
  <c r="Q130" i="1"/>
  <c r="C17" i="1"/>
  <c r="P128" i="1"/>
  <c r="Q128" i="1"/>
  <c r="S128" i="1"/>
  <c r="P40" i="1"/>
  <c r="P42" i="1"/>
  <c r="S42" i="1"/>
  <c r="G42" i="1"/>
  <c r="I42" i="1"/>
  <c r="P44" i="1"/>
  <c r="S44" i="1" s="1"/>
  <c r="P46" i="1"/>
  <c r="S46" i="1" s="1"/>
  <c r="G47" i="1"/>
  <c r="I47" i="1"/>
  <c r="S47" i="1"/>
  <c r="P48" i="1"/>
  <c r="S48" i="1"/>
  <c r="P50" i="1"/>
  <c r="S50" i="1"/>
  <c r="G50" i="1"/>
  <c r="G58" i="1"/>
  <c r="I58" i="1"/>
  <c r="P62" i="1"/>
  <c r="S62" i="1" s="1"/>
  <c r="P64" i="1"/>
  <c r="S64" i="1"/>
  <c r="P66" i="1"/>
  <c r="S66" i="1" s="1"/>
  <c r="P83" i="1"/>
  <c r="S83" i="1" s="1"/>
  <c r="G83" i="1"/>
  <c r="I83" i="1"/>
  <c r="G85" i="1"/>
  <c r="I85" i="1"/>
  <c r="P113" i="1"/>
  <c r="S113" i="1" s="1"/>
  <c r="P114" i="1"/>
  <c r="S114" i="1" s="1"/>
  <c r="P116" i="1"/>
  <c r="S116" i="1" s="1"/>
  <c r="P119" i="1"/>
  <c r="Q122" i="1"/>
  <c r="Q111" i="1"/>
  <c r="Q112" i="1"/>
  <c r="Q114" i="1"/>
  <c r="Q115" i="1"/>
  <c r="Q77" i="1"/>
  <c r="Q79" i="1"/>
  <c r="Q109" i="1"/>
  <c r="Q113" i="1"/>
  <c r="Q116" i="1"/>
  <c r="Q119" i="1"/>
  <c r="Q120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70" i="1"/>
  <c r="Q71" i="1"/>
  <c r="Q72" i="1"/>
  <c r="Q73" i="1"/>
  <c r="Q74" i="1"/>
  <c r="Q75" i="1"/>
  <c r="Q76" i="1"/>
  <c r="Q78" i="1"/>
  <c r="Q80" i="1"/>
  <c r="Q81" i="1"/>
  <c r="Q83" i="1"/>
  <c r="Q86" i="1"/>
  <c r="Q84" i="1"/>
  <c r="Q85" i="1"/>
  <c r="Q89" i="1"/>
  <c r="Q90" i="1"/>
  <c r="Q91" i="1"/>
  <c r="Q93" i="1"/>
  <c r="Q94" i="1"/>
  <c r="Q95" i="1"/>
  <c r="Q96" i="1"/>
  <c r="Q97" i="1"/>
  <c r="Q101" i="1"/>
  <c r="Q102" i="1"/>
  <c r="Q103" i="1"/>
  <c r="Q105" i="1"/>
  <c r="Q106" i="1"/>
  <c r="Q107" i="1"/>
  <c r="Q108" i="1"/>
  <c r="Q68" i="1"/>
  <c r="Q69" i="1"/>
  <c r="Q67" i="1"/>
  <c r="Q87" i="1"/>
  <c r="Q88" i="1"/>
  <c r="Q92" i="1"/>
  <c r="Q98" i="1"/>
  <c r="Q99" i="1"/>
  <c r="Q100" i="1"/>
  <c r="Q110" i="1"/>
  <c r="Q117" i="1"/>
  <c r="Q124" i="1"/>
  <c r="Q125" i="1"/>
  <c r="Q126" i="1"/>
  <c r="I40" i="1"/>
  <c r="I46" i="1"/>
  <c r="I50" i="1"/>
  <c r="I64" i="1"/>
  <c r="I81" i="1"/>
  <c r="G148" i="1"/>
  <c r="K148" i="1"/>
  <c r="P148" i="1"/>
  <c r="S148" i="1" s="1"/>
  <c r="G56" i="1"/>
  <c r="I56" i="1"/>
  <c r="P39" i="1"/>
  <c r="S39" i="1" s="1"/>
  <c r="G52" i="1"/>
  <c r="I52" i="1"/>
  <c r="P52" i="1"/>
  <c r="S52" i="1" s="1"/>
  <c r="E104" i="3"/>
  <c r="E113" i="3"/>
  <c r="P130" i="1"/>
  <c r="S130" i="1" s="1"/>
  <c r="E28" i="3"/>
  <c r="E106" i="3"/>
  <c r="P81" i="1"/>
  <c r="S81" i="1" s="1"/>
  <c r="E53" i="3"/>
  <c r="E24" i="3"/>
  <c r="E119" i="3"/>
  <c r="E37" i="3"/>
  <c r="E121" i="3"/>
  <c r="E99" i="3"/>
  <c r="E11" i="3"/>
  <c r="E19" i="3"/>
  <c r="E22" i="3"/>
  <c r="E35" i="3"/>
  <c r="P25" i="1"/>
  <c r="P33" i="1"/>
  <c r="S33" i="1"/>
  <c r="P35" i="1"/>
  <c r="S35" i="1"/>
  <c r="P37" i="1"/>
  <c r="S37" i="1" s="1"/>
  <c r="P140" i="1"/>
  <c r="S140" i="1" s="1"/>
  <c r="P143" i="1"/>
  <c r="S143" i="1"/>
  <c r="E112" i="1"/>
  <c r="F112" i="1"/>
  <c r="G112" i="1"/>
  <c r="G119" i="1"/>
  <c r="I119" i="1"/>
  <c r="E122" i="1"/>
  <c r="F122" i="1"/>
  <c r="E124" i="1"/>
  <c r="F124" i="1"/>
  <c r="E126" i="1"/>
  <c r="E129" i="1"/>
  <c r="F129" i="1"/>
  <c r="E131" i="1"/>
  <c r="E133" i="1"/>
  <c r="E135" i="1"/>
  <c r="F135" i="1"/>
  <c r="G135" i="1"/>
  <c r="K135" i="1"/>
  <c r="E137" i="1"/>
  <c r="E96" i="3"/>
  <c r="E139" i="1"/>
  <c r="F139" i="1"/>
  <c r="E141" i="1"/>
  <c r="F141" i="1"/>
  <c r="E143" i="1"/>
  <c r="F143" i="1"/>
  <c r="G143" i="1"/>
  <c r="K143" i="1"/>
  <c r="E145" i="1"/>
  <c r="F145" i="1"/>
  <c r="E147" i="1"/>
  <c r="F147" i="1"/>
  <c r="G147" i="1"/>
  <c r="K147" i="1"/>
  <c r="E23" i="1"/>
  <c r="F23" i="1"/>
  <c r="G23" i="1"/>
  <c r="H23" i="1"/>
  <c r="G25" i="1"/>
  <c r="H25" i="1"/>
  <c r="E31" i="1"/>
  <c r="F31" i="1"/>
  <c r="G31" i="1"/>
  <c r="H31" i="1"/>
  <c r="G33" i="1"/>
  <c r="H33" i="1"/>
  <c r="E65" i="1"/>
  <c r="F65" i="1"/>
  <c r="P65" i="1"/>
  <c r="S65" i="1"/>
  <c r="E63" i="1"/>
  <c r="F63" i="1"/>
  <c r="E61" i="1"/>
  <c r="F61" i="1"/>
  <c r="P61" i="1"/>
  <c r="E59" i="1"/>
  <c r="F59" i="1"/>
  <c r="E57" i="1"/>
  <c r="F57" i="1"/>
  <c r="G57" i="1"/>
  <c r="E55" i="1"/>
  <c r="E27" i="3"/>
  <c r="F55" i="1"/>
  <c r="G55" i="1"/>
  <c r="I55" i="1"/>
  <c r="E53" i="1"/>
  <c r="F53" i="1"/>
  <c r="E51" i="1"/>
  <c r="F51" i="1"/>
  <c r="E49" i="1"/>
  <c r="F49" i="1"/>
  <c r="E117" i="1"/>
  <c r="F117" i="1"/>
  <c r="P117" i="1"/>
  <c r="S117" i="1" s="1"/>
  <c r="E93" i="1"/>
  <c r="F93" i="1"/>
  <c r="E95" i="1"/>
  <c r="F95" i="1"/>
  <c r="G95" i="1"/>
  <c r="I95" i="1"/>
  <c r="E97" i="1"/>
  <c r="F97" i="1"/>
  <c r="E99" i="1"/>
  <c r="E101" i="1"/>
  <c r="E69" i="3"/>
  <c r="F101" i="1"/>
  <c r="P101" i="1"/>
  <c r="S101" i="1"/>
  <c r="E103" i="1"/>
  <c r="F103" i="1"/>
  <c r="E105" i="1"/>
  <c r="F105" i="1"/>
  <c r="E107" i="1"/>
  <c r="F107" i="1"/>
  <c r="E109" i="1"/>
  <c r="F109" i="1"/>
  <c r="G109" i="1"/>
  <c r="I109" i="1"/>
  <c r="E87" i="1"/>
  <c r="F87" i="1"/>
  <c r="E89" i="1"/>
  <c r="F89" i="1"/>
  <c r="E82" i="1"/>
  <c r="F82" i="1"/>
  <c r="G82" i="1"/>
  <c r="I82" i="1"/>
  <c r="E68" i="1"/>
  <c r="F68" i="1"/>
  <c r="E70" i="1"/>
  <c r="F70" i="1"/>
  <c r="E91" i="1"/>
  <c r="F91" i="1"/>
  <c r="G114" i="1"/>
  <c r="J114" i="1"/>
  <c r="E120" i="1"/>
  <c r="E86" i="3"/>
  <c r="E21" i="1"/>
  <c r="F21" i="1"/>
  <c r="E26" i="1"/>
  <c r="F26" i="1"/>
  <c r="G26" i="1"/>
  <c r="H28" i="1"/>
  <c r="E34" i="1"/>
  <c r="E116" i="3"/>
  <c r="E80" i="1"/>
  <c r="F80" i="1"/>
  <c r="E77" i="1"/>
  <c r="E74" i="1"/>
  <c r="F74" i="1"/>
  <c r="G74" i="1"/>
  <c r="I74" i="1"/>
  <c r="E72" i="1"/>
  <c r="E44" i="3"/>
  <c r="E92" i="1"/>
  <c r="F92" i="1"/>
  <c r="E94" i="1"/>
  <c r="F94" i="1"/>
  <c r="E96" i="1"/>
  <c r="F96" i="1"/>
  <c r="E98" i="1"/>
  <c r="E100" i="1"/>
  <c r="F100" i="1"/>
  <c r="P100" i="1"/>
  <c r="S100" i="1"/>
  <c r="E102" i="1"/>
  <c r="E104" i="1"/>
  <c r="F104" i="1"/>
  <c r="E106" i="1"/>
  <c r="F106" i="1"/>
  <c r="E108" i="1"/>
  <c r="F108" i="1"/>
  <c r="E110" i="1"/>
  <c r="E88" i="1"/>
  <c r="F88" i="1"/>
  <c r="P88" i="1"/>
  <c r="S88" i="1"/>
  <c r="E90" i="1"/>
  <c r="E67" i="1"/>
  <c r="F67" i="1"/>
  <c r="E69" i="1"/>
  <c r="F69" i="1"/>
  <c r="E71" i="1"/>
  <c r="F71" i="1"/>
  <c r="E22" i="1"/>
  <c r="F22" i="1"/>
  <c r="G22" i="1"/>
  <c r="H22" i="1"/>
  <c r="G24" i="1"/>
  <c r="H24" i="1"/>
  <c r="E30" i="1"/>
  <c r="F30" i="1"/>
  <c r="G32" i="1"/>
  <c r="H32" i="1"/>
  <c r="E38" i="1"/>
  <c r="F38" i="1"/>
  <c r="E79" i="1"/>
  <c r="F79" i="1"/>
  <c r="G79" i="1"/>
  <c r="I79" i="1"/>
  <c r="E75" i="1"/>
  <c r="F75" i="1"/>
  <c r="E73" i="1"/>
  <c r="P71" i="1"/>
  <c r="G71" i="1"/>
  <c r="I71" i="1"/>
  <c r="G87" i="1"/>
  <c r="I87" i="1"/>
  <c r="F131" i="1"/>
  <c r="P131" i="1"/>
  <c r="S131" i="1" s="1"/>
  <c r="E126" i="3"/>
  <c r="G93" i="1"/>
  <c r="I93" i="1"/>
  <c r="G108" i="1"/>
  <c r="I108" i="1"/>
  <c r="P108" i="1"/>
  <c r="S108" i="1" s="1"/>
  <c r="G92" i="1"/>
  <c r="I92" i="1"/>
  <c r="P26" i="1"/>
  <c r="F99" i="1"/>
  <c r="G99" i="1"/>
  <c r="I99" i="1"/>
  <c r="J112" i="1"/>
  <c r="P112" i="1"/>
  <c r="S112" i="1" s="1"/>
  <c r="E42" i="3"/>
  <c r="E40" i="3"/>
  <c r="P74" i="1"/>
  <c r="S74" i="1" s="1"/>
  <c r="F73" i="1"/>
  <c r="E45" i="3"/>
  <c r="E73" i="3"/>
  <c r="P57" i="1"/>
  <c r="S57" i="1"/>
  <c r="I57" i="1"/>
  <c r="F133" i="1"/>
  <c r="E128" i="3"/>
  <c r="E101" i="3"/>
  <c r="E84" i="3"/>
  <c r="E132" i="3"/>
  <c r="F102" i="1"/>
  <c r="E70" i="3"/>
  <c r="G107" i="1"/>
  <c r="I107" i="1"/>
  <c r="P107" i="1"/>
  <c r="G117" i="1"/>
  <c r="I117" i="1"/>
  <c r="F126" i="1"/>
  <c r="E33" i="3"/>
  <c r="E31" i="3"/>
  <c r="E94" i="3"/>
  <c r="E49" i="3"/>
  <c r="P69" i="1"/>
  <c r="G69" i="1"/>
  <c r="S69" i="1"/>
  <c r="I69" i="1"/>
  <c r="I116" i="1"/>
  <c r="G100" i="1"/>
  <c r="I100" i="1"/>
  <c r="G91" i="1"/>
  <c r="I91" i="1"/>
  <c r="P91" i="1"/>
  <c r="S91" i="1"/>
  <c r="G65" i="1"/>
  <c r="I65" i="1"/>
  <c r="E76" i="3"/>
  <c r="E74" i="3"/>
  <c r="E56" i="3"/>
  <c r="E41" i="3"/>
  <c r="E75" i="3"/>
  <c r="E43" i="3"/>
  <c r="E48" i="3"/>
  <c r="F77" i="1"/>
  <c r="P77" i="1"/>
  <c r="S77" i="1"/>
  <c r="E46" i="3"/>
  <c r="E63" i="3"/>
  <c r="E66" i="3"/>
  <c r="F98" i="1"/>
  <c r="G98" i="1"/>
  <c r="I98" i="1"/>
  <c r="P30" i="1"/>
  <c r="S30" i="1" s="1"/>
  <c r="G30" i="1"/>
  <c r="G88" i="1"/>
  <c r="I88" i="1"/>
  <c r="G96" i="1"/>
  <c r="I96" i="1"/>
  <c r="P96" i="1"/>
  <c r="S96" i="1"/>
  <c r="G103" i="1"/>
  <c r="I103" i="1"/>
  <c r="P103" i="1"/>
  <c r="S103" i="1" s="1"/>
  <c r="E88" i="3"/>
  <c r="S25" i="1"/>
  <c r="E60" i="3"/>
  <c r="E112" i="3"/>
  <c r="E68" i="3"/>
  <c r="G75" i="1"/>
  <c r="I75" i="1"/>
  <c r="P75" i="1"/>
  <c r="P109" i="1"/>
  <c r="S109" i="1" s="1"/>
  <c r="E58" i="3"/>
  <c r="F90" i="1"/>
  <c r="P90" i="1"/>
  <c r="S90" i="1" s="1"/>
  <c r="G49" i="1"/>
  <c r="I49" i="1"/>
  <c r="P49" i="1"/>
  <c r="S49" i="1" s="1"/>
  <c r="E77" i="3"/>
  <c r="F110" i="1"/>
  <c r="G110" i="1"/>
  <c r="P68" i="1"/>
  <c r="S68" i="1" s="1"/>
  <c r="G68" i="1"/>
  <c r="I68" i="1"/>
  <c r="G101" i="1"/>
  <c r="I101" i="1"/>
  <c r="P53" i="1"/>
  <c r="S53" i="1" s="1"/>
  <c r="G53" i="1"/>
  <c r="I53" i="1"/>
  <c r="P82" i="1"/>
  <c r="S82" i="1"/>
  <c r="P23" i="1"/>
  <c r="S23" i="1" s="1"/>
  <c r="E105" i="3"/>
  <c r="E25" i="3"/>
  <c r="S119" i="1"/>
  <c r="S107" i="1"/>
  <c r="G106" i="1"/>
  <c r="I106" i="1"/>
  <c r="P106" i="1"/>
  <c r="S106" i="1" s="1"/>
  <c r="G126" i="1"/>
  <c r="J126" i="1"/>
  <c r="P126" i="1"/>
  <c r="S126" i="1" s="1"/>
  <c r="P73" i="1"/>
  <c r="S73" i="1" s="1"/>
  <c r="G73" i="1"/>
  <c r="I73" i="1"/>
  <c r="G133" i="1"/>
  <c r="K133" i="1"/>
  <c r="P133" i="1"/>
  <c r="S133" i="1" s="1"/>
  <c r="G131" i="1"/>
  <c r="K131" i="1"/>
  <c r="P110" i="1"/>
  <c r="S110" i="1" s="1"/>
  <c r="G90" i="1"/>
  <c r="I90" i="1"/>
  <c r="G77" i="1"/>
  <c r="I77" i="1"/>
  <c r="S71" i="1"/>
  <c r="P102" i="1"/>
  <c r="S102" i="1" s="1"/>
  <c r="G102" i="1"/>
  <c r="I102" i="1"/>
  <c r="H26" i="1"/>
  <c r="S26" i="1"/>
  <c r="I110" i="1"/>
  <c r="P94" i="1"/>
  <c r="G94" i="1"/>
  <c r="I94" i="1"/>
  <c r="G105" i="1"/>
  <c r="I105" i="1"/>
  <c r="P105" i="1"/>
  <c r="S105" i="1" s="1"/>
  <c r="P139" i="1"/>
  <c r="G139" i="1"/>
  <c r="K139" i="1"/>
  <c r="G124" i="1"/>
  <c r="J124" i="1"/>
  <c r="P124" i="1"/>
  <c r="P104" i="1"/>
  <c r="G104" i="1"/>
  <c r="I104" i="1"/>
  <c r="D16" i="1"/>
  <c r="D19" i="1"/>
  <c r="G89" i="1"/>
  <c r="I89" i="1"/>
  <c r="G122" i="1"/>
  <c r="I122" i="1"/>
  <c r="P122" i="1"/>
  <c r="S122" i="1" s="1"/>
  <c r="G145" i="1"/>
  <c r="J145" i="1"/>
  <c r="P145" i="1"/>
  <c r="S145" i="1" s="1"/>
  <c r="P67" i="1"/>
  <c r="G67" i="1"/>
  <c r="I67" i="1"/>
  <c r="P21" i="1"/>
  <c r="G21" i="1"/>
  <c r="H21" i="1"/>
  <c r="G59" i="1"/>
  <c r="I59" i="1"/>
  <c r="P59" i="1"/>
  <c r="P84" i="1"/>
  <c r="G84" i="1"/>
  <c r="I84" i="1"/>
  <c r="G70" i="1"/>
  <c r="I70" i="1"/>
  <c r="P70" i="1"/>
  <c r="S70" i="1" s="1"/>
  <c r="G97" i="1"/>
  <c r="I97" i="1"/>
  <c r="P97" i="1"/>
  <c r="S97" i="1"/>
  <c r="P51" i="1"/>
  <c r="S51" i="1" s="1"/>
  <c r="G51" i="1"/>
  <c r="I51" i="1"/>
  <c r="G63" i="1"/>
  <c r="I63" i="1"/>
  <c r="P63" i="1"/>
  <c r="S63" i="1"/>
  <c r="G129" i="1"/>
  <c r="K129" i="1"/>
  <c r="P129" i="1"/>
  <c r="S129" i="1"/>
  <c r="I62" i="1"/>
  <c r="G38" i="1"/>
  <c r="H38" i="1"/>
  <c r="P38" i="1"/>
  <c r="P80" i="1"/>
  <c r="G80" i="1"/>
  <c r="I80" i="1"/>
  <c r="G141" i="1"/>
  <c r="K141" i="1"/>
  <c r="P141" i="1"/>
  <c r="S141" i="1"/>
  <c r="E65" i="3"/>
  <c r="H30" i="1"/>
  <c r="G61" i="1"/>
  <c r="I61" i="1"/>
  <c r="P55" i="1"/>
  <c r="S55" i="1" s="1"/>
  <c r="F34" i="1"/>
  <c r="F120" i="1"/>
  <c r="F137" i="1"/>
  <c r="E108" i="3"/>
  <c r="E39" i="3"/>
  <c r="E57" i="3"/>
  <c r="E98" i="3"/>
  <c r="P31" i="1"/>
  <c r="S31" i="1"/>
  <c r="P79" i="1"/>
  <c r="S79" i="1" s="1"/>
  <c r="P118" i="1"/>
  <c r="S118" i="1" s="1"/>
  <c r="E72" i="3"/>
  <c r="S40" i="1"/>
  <c r="E13" i="3"/>
  <c r="E23" i="3"/>
  <c r="E52" i="3"/>
  <c r="P132" i="1"/>
  <c r="S132" i="1" s="1"/>
  <c r="P123" i="1"/>
  <c r="S123" i="1"/>
  <c r="P43" i="1"/>
  <c r="S43" i="1" s="1"/>
  <c r="P125" i="1"/>
  <c r="S125" i="1"/>
  <c r="P56" i="1"/>
  <c r="S56" i="1" s="1"/>
  <c r="P85" i="1"/>
  <c r="S85" i="1"/>
  <c r="P144" i="1"/>
  <c r="S144" i="1" s="1"/>
  <c r="P41" i="1"/>
  <c r="S41" i="1" s="1"/>
  <c r="P54" i="1"/>
  <c r="S54" i="1" s="1"/>
  <c r="P86" i="1"/>
  <c r="S86" i="1"/>
  <c r="P142" i="1"/>
  <c r="S142" i="1" s="1"/>
  <c r="P87" i="1"/>
  <c r="S87" i="1" s="1"/>
  <c r="P93" i="1"/>
  <c r="S93" i="1" s="1"/>
  <c r="P92" i="1"/>
  <c r="S92" i="1"/>
  <c r="P89" i="1"/>
  <c r="S89" i="1" s="1"/>
  <c r="P147" i="1"/>
  <c r="S147" i="1" s="1"/>
  <c r="P32" i="1"/>
  <c r="S32" i="1" s="1"/>
  <c r="P24" i="1"/>
  <c r="S24" i="1"/>
  <c r="P28" i="1"/>
  <c r="S28" i="1" s="1"/>
  <c r="P98" i="1"/>
  <c r="S98" i="1" s="1"/>
  <c r="P99" i="1"/>
  <c r="S99" i="1" s="1"/>
  <c r="S75" i="1"/>
  <c r="E61" i="3"/>
  <c r="F72" i="1"/>
  <c r="P135" i="1"/>
  <c r="S135" i="1"/>
  <c r="P29" i="1"/>
  <c r="S29" i="1"/>
  <c r="E111" i="3"/>
  <c r="E67" i="3"/>
  <c r="E62" i="3"/>
  <c r="P95" i="1"/>
  <c r="S95" i="1" s="1"/>
  <c r="E93" i="3"/>
  <c r="E50" i="3"/>
  <c r="P22" i="1"/>
  <c r="S22" i="1" s="1"/>
  <c r="E14" i="1" s="1"/>
  <c r="E120" i="3"/>
  <c r="E20" i="3"/>
  <c r="E103" i="3"/>
  <c r="P27" i="1"/>
  <c r="S27" i="1"/>
  <c r="E14" i="3"/>
  <c r="E21" i="3"/>
  <c r="E36" i="3"/>
  <c r="E78" i="3"/>
  <c r="E122" i="3"/>
  <c r="P136" i="1"/>
  <c r="S136" i="1" s="1"/>
  <c r="E15" i="3"/>
  <c r="E64" i="3"/>
  <c r="E79" i="3"/>
  <c r="E115" i="1"/>
  <c r="F115" i="1"/>
  <c r="G115" i="1"/>
  <c r="J115" i="1"/>
  <c r="E111" i="1"/>
  <c r="F111" i="1"/>
  <c r="E41" i="1"/>
  <c r="F41" i="1"/>
  <c r="G41" i="1"/>
  <c r="I41" i="1"/>
  <c r="E43" i="1"/>
  <c r="F43" i="1"/>
  <c r="G43" i="1"/>
  <c r="I43" i="1"/>
  <c r="E45" i="1"/>
  <c r="F45" i="1"/>
  <c r="E60" i="1"/>
  <c r="F60" i="1"/>
  <c r="G60" i="1"/>
  <c r="I60" i="1"/>
  <c r="E36" i="1"/>
  <c r="F36" i="1"/>
  <c r="G36" i="1"/>
  <c r="H36" i="1"/>
  <c r="E134" i="1"/>
  <c r="F134" i="1"/>
  <c r="G134" i="1"/>
  <c r="P115" i="1"/>
  <c r="S115" i="1" s="1"/>
  <c r="S61" i="1"/>
  <c r="D15" i="1"/>
  <c r="C19" i="1" s="1"/>
  <c r="G45" i="1"/>
  <c r="I45" i="1"/>
  <c r="P45" i="1"/>
  <c r="S45" i="1" s="1"/>
  <c r="E129" i="3"/>
  <c r="G137" i="1"/>
  <c r="P137" i="1"/>
  <c r="S137" i="1" s="1"/>
  <c r="S21" i="1"/>
  <c r="P36" i="1"/>
  <c r="S36" i="1" s="1"/>
  <c r="E32" i="3"/>
  <c r="G120" i="1"/>
  <c r="I120" i="1"/>
  <c r="P120" i="1"/>
  <c r="S120" i="1" s="1"/>
  <c r="P134" i="1"/>
  <c r="S134" i="1"/>
  <c r="P34" i="1"/>
  <c r="S34" i="1" s="1"/>
  <c r="G34" i="1"/>
  <c r="H34" i="1"/>
  <c r="S80" i="1"/>
  <c r="S67" i="1"/>
  <c r="S104" i="1"/>
  <c r="S94" i="1"/>
  <c r="G72" i="1"/>
  <c r="I72" i="1"/>
  <c r="P72" i="1"/>
  <c r="G111" i="1"/>
  <c r="J111" i="1"/>
  <c r="P111" i="1"/>
  <c r="P60" i="1"/>
  <c r="S60" i="1"/>
  <c r="E17" i="3"/>
  <c r="E82" i="3"/>
  <c r="S38" i="1"/>
  <c r="S84" i="1"/>
  <c r="S124" i="1"/>
  <c r="S59" i="1"/>
  <c r="K134" i="1"/>
  <c r="E118" i="3"/>
  <c r="S139" i="1"/>
  <c r="S72" i="1"/>
  <c r="K137" i="1"/>
  <c r="S111" i="1"/>
  <c r="C11" i="1"/>
  <c r="C12" i="1"/>
  <c r="C16" i="1" l="1"/>
  <c r="D18" i="1" s="1"/>
  <c r="O113" i="1"/>
  <c r="O139" i="1"/>
  <c r="O135" i="1"/>
  <c r="O130" i="1"/>
  <c r="O118" i="1"/>
  <c r="O117" i="1"/>
  <c r="O129" i="1"/>
  <c r="O127" i="1"/>
  <c r="O126" i="1"/>
  <c r="O134" i="1"/>
  <c r="O137" i="1"/>
  <c r="O138" i="1"/>
  <c r="O148" i="1"/>
  <c r="O140" i="1"/>
  <c r="O131" i="1"/>
  <c r="O128" i="1"/>
  <c r="O125" i="1"/>
  <c r="O146" i="1"/>
  <c r="O141" i="1"/>
  <c r="O104" i="1"/>
  <c r="O116" i="1"/>
  <c r="O122" i="1"/>
  <c r="O142" i="1"/>
  <c r="O124" i="1"/>
  <c r="O123" i="1"/>
  <c r="O115" i="1"/>
  <c r="O82" i="1"/>
  <c r="O133" i="1"/>
  <c r="O147" i="1"/>
  <c r="C15" i="1"/>
  <c r="O120" i="1"/>
  <c r="O145" i="1"/>
  <c r="O114" i="1"/>
  <c r="O119" i="1"/>
  <c r="O121" i="1"/>
  <c r="O144" i="1"/>
  <c r="O143" i="1"/>
  <c r="O136" i="1"/>
  <c r="O132" i="1"/>
  <c r="F17" i="1"/>
  <c r="C18" i="1" l="1"/>
  <c r="F18" i="1"/>
  <c r="F19" i="1" s="1"/>
</calcChain>
</file>

<file path=xl/sharedStrings.xml><?xml version="1.0" encoding="utf-8"?>
<sst xmlns="http://schemas.openxmlformats.org/spreadsheetml/2006/main" count="1354" uniqueCount="580">
  <si>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</si>
  <si>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</si>
  <si>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</si>
  <si>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</si>
  <si>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</si>
  <si>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</si>
  <si>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</si>
  <si>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</si>
  <si>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</si>
  <si>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</si>
  <si>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</si>
  <si>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</si>
  <si>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</si>
  <si>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</si>
  <si>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</si>
  <si>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</si>
  <si>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</si>
  <si>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</si>
  <si>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</si>
  <si>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</si>
  <si>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</si>
  <si>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</si>
  <si>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</si>
  <si>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</si>
  <si>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</si>
  <si>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</si>
  <si>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</si>
  <si>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IBVS 5484</t>
  </si>
  <si>
    <t>Locher K</t>
  </si>
  <si>
    <t>BBSAG Bull.21</t>
  </si>
  <si>
    <t>B</t>
  </si>
  <si>
    <t>v</t>
  </si>
  <si>
    <t>Diethelm R</t>
  </si>
  <si>
    <t>BBSAG Bull.22</t>
  </si>
  <si>
    <t>BBSAG Bull.23</t>
  </si>
  <si>
    <t>BBSAG Bull.24</t>
  </si>
  <si>
    <t>Peter H</t>
  </si>
  <si>
    <t>BBSAG Bull.26</t>
  </si>
  <si>
    <t>BBSAG Bull.30</t>
  </si>
  <si>
    <t>BBSAG Bull.32</t>
  </si>
  <si>
    <t>Germann R</t>
  </si>
  <si>
    <t>BBSAG Bull.33</t>
  </si>
  <si>
    <t>BBSAG Bull.36</t>
  </si>
  <si>
    <t>:</t>
  </si>
  <si>
    <t>Stoikidis N</t>
  </si>
  <si>
    <t>BBSAG Bull.43</t>
  </si>
  <si>
    <t>BBSAG Bull.44</t>
  </si>
  <si>
    <t>BBSAG Bull.45</t>
  </si>
  <si>
    <t>BBSAG Bull.46</t>
  </si>
  <si>
    <t>BBSAG Bull.47</t>
  </si>
  <si>
    <t>BBSAG Bull.51</t>
  </si>
  <si>
    <t>BRNO 26</t>
  </si>
  <si>
    <t>K</t>
  </si>
  <si>
    <t>BRNO 23</t>
  </si>
  <si>
    <t>BBSAG Bull.53</t>
  </si>
  <si>
    <t>Nikolaou I</t>
  </si>
  <si>
    <t>BBSAG Bull.54</t>
  </si>
  <si>
    <t>BBSAG Bull.57</t>
  </si>
  <si>
    <t>Mavrofridis G</t>
  </si>
  <si>
    <t>BBSAG Bull.58</t>
  </si>
  <si>
    <t>BBSAG 58</t>
  </si>
  <si>
    <t>BBSAG Bull.60</t>
  </si>
  <si>
    <t>BBSAG 60</t>
  </si>
  <si>
    <t>BBSAG Bull.64</t>
  </si>
  <si>
    <t>Stefanopoulos G</t>
  </si>
  <si>
    <t>BBSAG Bull.67</t>
  </si>
  <si>
    <t>BBSAG Bull.66</t>
  </si>
  <si>
    <t>Kohl M</t>
  </si>
  <si>
    <t>BBSAG Bull.70</t>
  </si>
  <si>
    <t>BBSAG Bull.72</t>
  </si>
  <si>
    <t>BBSAG Bull.73</t>
  </si>
  <si>
    <t>BBSAG Bull.76</t>
  </si>
  <si>
    <t>BRNO 27</t>
  </si>
  <si>
    <t>BRNO 28</t>
  </si>
  <si>
    <t>BBSAG Bull.88</t>
  </si>
  <si>
    <t>BBSAG Bull.91</t>
  </si>
  <si>
    <t>BBSAG Bull.94</t>
  </si>
  <si>
    <t>BBSAG Bull.98</t>
  </si>
  <si>
    <t>BBSAG Bull.101</t>
  </si>
  <si>
    <t>BRNO 31</t>
  </si>
  <si>
    <t>phe  V</t>
  </si>
  <si>
    <t>BAV-M 68</t>
  </si>
  <si>
    <t>phe  B</t>
  </si>
  <si>
    <t>BBSAG Bull.106</t>
  </si>
  <si>
    <t>BBSAG Bull.109</t>
  </si>
  <si>
    <t>BBSAG Bull.115</t>
  </si>
  <si>
    <t>IBVS 4888</t>
  </si>
  <si>
    <t>EA/SD</t>
  </si>
  <si>
    <t>IBVS 5643</t>
  </si>
  <si>
    <t># of data points:</t>
  </si>
  <si>
    <t>SX Lyn / gsc 0835-0142</t>
  </si>
  <si>
    <t>IBVS 5694</t>
  </si>
  <si>
    <t>I</t>
  </si>
  <si>
    <t>Start of linear fit (row #)</t>
  </si>
  <si>
    <t>IBVS 5874</t>
  </si>
  <si>
    <t>IBVS 5893</t>
  </si>
  <si>
    <t>OEJV 0074</t>
  </si>
  <si>
    <t>vis</t>
  </si>
  <si>
    <t>BAD</t>
  </si>
  <si>
    <t>IBVS 5943</t>
  </si>
  <si>
    <t>II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</si>
  <si>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</si>
  <si>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</si>
  <si>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</si>
  <si>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</si>
  <si>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</si>
  <si>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</si>
  <si>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</si>
  <si>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</si>
  <si>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</si>
  <si>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IBVS 5988</t>
  </si>
  <si>
    <t>IBVS 5960</t>
  </si>
  <si>
    <t>IBVS 6010</t>
  </si>
  <si>
    <t>IBVS 6029</t>
  </si>
  <si>
    <t>JAVSO..41..122</t>
  </si>
  <si>
    <t>IBVS 6118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</si>
  <si>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</si>
  <si>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</si>
  <si>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</si>
  <si>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</si>
  <si>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</si>
  <si>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</si>
  <si>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</si>
  <si>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</si>
  <si>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</si>
  <si>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</si>
  <si>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</si>
  <si>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</si>
  <si>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2427483.452 </t>
  </si>
  <si>
    <t> 14.02.1934 22:50 </t>
  </si>
  <si>
    <t> -0.470 </t>
  </si>
  <si>
    <t>P </t>
  </si>
  <si>
    <t> Wedel &amp; Wenzel </t>
  </si>
  <si>
    <t> MVS 206 </t>
  </si>
  <si>
    <t>2428636.395 </t>
  </si>
  <si>
    <t> 12.04.1937 21:28 </t>
  </si>
  <si>
    <t> -0.336 </t>
  </si>
  <si>
    <t> E.Geyer et al. </t>
  </si>
  <si>
    <t> KVB 9.5 </t>
  </si>
  <si>
    <t>2429194.596 </t>
  </si>
  <si>
    <t> 23.10.1938 02:18 </t>
  </si>
  <si>
    <t> -0.337 </t>
  </si>
  <si>
    <t>2430262.573 </t>
  </si>
  <si>
    <t> 25.09.1941 01:45 </t>
  </si>
  <si>
    <t> -0.225 </t>
  </si>
  <si>
    <t>2430428.391 </t>
  </si>
  <si>
    <t> 09.03.1942 21:23 </t>
  </si>
  <si>
    <t> -0.250 </t>
  </si>
  <si>
    <t>2430440.425 </t>
  </si>
  <si>
    <t> 21.03.1942 22:12 </t>
  </si>
  <si>
    <t> -0.350 </t>
  </si>
  <si>
    <t>2430780.315 </t>
  </si>
  <si>
    <t> 24.02.1943 19:33 </t>
  </si>
  <si>
    <t> -0.236 </t>
  </si>
  <si>
    <t>2430784.384 </t>
  </si>
  <si>
    <t> 28.02.1943 21:12 </t>
  </si>
  <si>
    <t> -0.212 </t>
  </si>
  <si>
    <t>2430788.417 </t>
  </si>
  <si>
    <t> 04.03.1943 22:00 </t>
  </si>
  <si>
    <t> -0.223 </t>
  </si>
  <si>
    <t>2430792.430 </t>
  </si>
  <si>
    <t> 08.03.1943 22:19 </t>
  </si>
  <si>
    <t> -0.255 </t>
  </si>
  <si>
    <t>2431144.399 </t>
  </si>
  <si>
    <t> 23.02.1944 21:34 </t>
  </si>
  <si>
    <t> -0.196 </t>
  </si>
  <si>
    <t>2431441.576 </t>
  </si>
  <si>
    <t> 17.12.1944 01:49 </t>
  </si>
  <si>
    <t> -0.323 </t>
  </si>
  <si>
    <t>2432950.464 </t>
  </si>
  <si>
    <t> 02.02.1949 23:08 </t>
  </si>
  <si>
    <t> -0.198 </t>
  </si>
  <si>
    <t>2433027.355 </t>
  </si>
  <si>
    <t> 20.04.1949 20:31 </t>
  </si>
  <si>
    <t> -0.161 </t>
  </si>
  <si>
    <t>2433302.453 </t>
  </si>
  <si>
    <t> 20.01.1950 22:52 </t>
  </si>
  <si>
    <t> -0.120 </t>
  </si>
  <si>
    <t>2433306.467 </t>
  </si>
  <si>
    <t> 24.01.1950 23:12 </t>
  </si>
  <si>
    <t> -0.150 </t>
  </si>
  <si>
    <t>2433947.622 </t>
  </si>
  <si>
    <t> 28.10.1951 02:55 </t>
  </si>
  <si>
    <t> -0.119 </t>
  </si>
  <si>
    <t>2434663.549 </t>
  </si>
  <si>
    <t> 13.10.1953 01:10 </t>
  </si>
  <si>
    <t> -0.147 </t>
  </si>
  <si>
    <t>2442452.259 </t>
  </si>
  <si>
    <t> 08.02.1975 18:12 </t>
  </si>
  <si>
    <t> 0.025 </t>
  </si>
  <si>
    <t>V </t>
  </si>
  <si>
    <t> K.Locher </t>
  </si>
  <si>
    <t> BBS 21 </t>
  </si>
  <si>
    <t>2442452.262 </t>
  </si>
  <si>
    <t> 08.02.1975 18:17 </t>
  </si>
  <si>
    <t> 0.028 </t>
  </si>
  <si>
    <t> R.Diethelm </t>
  </si>
  <si>
    <t>2442454.249 </t>
  </si>
  <si>
    <t> 10.02.1975 17:58 </t>
  </si>
  <si>
    <t> -0.007 </t>
  </si>
  <si>
    <t>2442458.279 </t>
  </si>
  <si>
    <t> 14.02.1975 18:41 </t>
  </si>
  <si>
    <t> -0.022 </t>
  </si>
  <si>
    <t>2442464.345 </t>
  </si>
  <si>
    <t> 20.02.1975 20:16 </t>
  </si>
  <si>
    <t> -0.023 </t>
  </si>
  <si>
    <t>2442464.350 </t>
  </si>
  <si>
    <t> 20.02.1975 20:24 </t>
  </si>
  <si>
    <t> -0.018 </t>
  </si>
  <si>
    <t>2442470.400 </t>
  </si>
  <si>
    <t> 26.02.1975 21:36 </t>
  </si>
  <si>
    <t> -0.036 </t>
  </si>
  <si>
    <t>2442561.424 </t>
  </si>
  <si>
    <t> 28.05.1975 22:10 </t>
  </si>
  <si>
    <t> BBS 22 </t>
  </si>
  <si>
    <t>2442652.444 </t>
  </si>
  <si>
    <t> 27.08.1975 22:39 </t>
  </si>
  <si>
    <t> -0.014 </t>
  </si>
  <si>
    <t> BBS 23 </t>
  </si>
  <si>
    <t>2442664.573 </t>
  </si>
  <si>
    <t> 09.09.1975 01:45 </t>
  </si>
  <si>
    <t> -0.020 </t>
  </si>
  <si>
    <t> BBS 24 </t>
  </si>
  <si>
    <t>2442729.280 </t>
  </si>
  <si>
    <t> 12.11.1975 18:43 </t>
  </si>
  <si>
    <t> -0.032 </t>
  </si>
  <si>
    <t>2442741.422 </t>
  </si>
  <si>
    <t> 24.11.1975 22:07 </t>
  </si>
  <si>
    <t> -0.025 </t>
  </si>
  <si>
    <t>2442832.444 </t>
  </si>
  <si>
    <t> 23.02.1976 22:39 </t>
  </si>
  <si>
    <t> H.Peter </t>
  </si>
  <si>
    <t> BBS 26 </t>
  </si>
  <si>
    <t>2443028.611 </t>
  </si>
  <si>
    <t> 07.09.1976 02:39 </t>
  </si>
  <si>
    <t> -0.027 </t>
  </si>
  <si>
    <t> BBS 30 </t>
  </si>
  <si>
    <t>2443188.412 </t>
  </si>
  <si>
    <t> 13.02.1977 21:53 </t>
  </si>
  <si>
    <t> -0.001 </t>
  </si>
  <si>
    <t> BBS 32 </t>
  </si>
  <si>
    <t>2443188.416 </t>
  </si>
  <si>
    <t> 13.02.1977 21:59 </t>
  </si>
  <si>
    <t> 0.003 </t>
  </si>
  <si>
    <t>2443273.337 </t>
  </si>
  <si>
    <t> 09.05.1977 20:05 </t>
  </si>
  <si>
    <t> R.Germann </t>
  </si>
  <si>
    <t> BBS 33 </t>
  </si>
  <si>
    <t>2443534.240 </t>
  </si>
  <si>
    <t> 25.01.1978 17:45 </t>
  </si>
  <si>
    <t> -0.016 </t>
  </si>
  <si>
    <t> BBS 36 </t>
  </si>
  <si>
    <t>2443536.275 </t>
  </si>
  <si>
    <t> 27.01.1978 18:36 </t>
  </si>
  <si>
    <t>2443544.359 </t>
  </si>
  <si>
    <t> 04.02.1978 20:36 </t>
  </si>
  <si>
    <t> -0.009 </t>
  </si>
  <si>
    <t>2443544.365 </t>
  </si>
  <si>
    <t> 04.02.1978 20:45 </t>
  </si>
  <si>
    <t>2443544.367 </t>
  </si>
  <si>
    <t> 04.02.1978 20:48 </t>
  </si>
  <si>
    <t>2443991.324 </t>
  </si>
  <si>
    <t> 27.04.1979 19:46 </t>
  </si>
  <si>
    <t> -0.010 </t>
  </si>
  <si>
    <t> N.Stoikidis </t>
  </si>
  <si>
    <t> BBS 43 </t>
  </si>
  <si>
    <t>2444090.439 </t>
  </si>
  <si>
    <t> 04.08.1979 22:32 </t>
  </si>
  <si>
    <t> BBS 44 </t>
  </si>
  <si>
    <t>2444203.705 </t>
  </si>
  <si>
    <t> 26.11.1979 04:55 </t>
  </si>
  <si>
    <t> 0.011 </t>
  </si>
  <si>
    <t> BBS 45 </t>
  </si>
  <si>
    <t>2444266.400 </t>
  </si>
  <si>
    <t> 27.01.1980 21:36 </t>
  </si>
  <si>
    <t> 0.009 </t>
  </si>
  <si>
    <t> BBS 46 </t>
  </si>
  <si>
    <t>2444359.412 </t>
  </si>
  <si>
    <t> 29.04.1980 21:53 </t>
  </si>
  <si>
    <t> -0.012 </t>
  </si>
  <si>
    <t> BBS 47 </t>
  </si>
  <si>
    <t>2444563.708 </t>
  </si>
  <si>
    <t> 20.11.1980 04:59 </t>
  </si>
  <si>
    <t> 0.014 </t>
  </si>
  <si>
    <t> BBS 51 </t>
  </si>
  <si>
    <t>2444634.484 </t>
  </si>
  <si>
    <t> 29.01.1981 23:36 </t>
  </si>
  <si>
    <t> 0.004 </t>
  </si>
  <si>
    <t> J.Silhan </t>
  </si>
  <si>
    <t> BRNO 26 </t>
  </si>
  <si>
    <t>2444636.509 </t>
  </si>
  <si>
    <t> 01.02.1981 00:12 </t>
  </si>
  <si>
    <t> 0.006 </t>
  </si>
  <si>
    <t> J.Manek </t>
  </si>
  <si>
    <t> BRNO 23 </t>
  </si>
  <si>
    <t>2444638.520 </t>
  </si>
  <si>
    <t> 03.02.1981 00:28 </t>
  </si>
  <si>
    <t> -0.005 </t>
  </si>
  <si>
    <t>2444648.642 </t>
  </si>
  <si>
    <t> 13.02.1981 03:24 </t>
  </si>
  <si>
    <t> BBS 53 </t>
  </si>
  <si>
    <t>2444713.332 </t>
  </si>
  <si>
    <t> 18.04.1981 19:58 </t>
  </si>
  <si>
    <t> I.Nikolaou </t>
  </si>
  <si>
    <t> BBS 54 </t>
  </si>
  <si>
    <t>2444713.346 </t>
  </si>
  <si>
    <t> 18.04.1981 20:18 </t>
  </si>
  <si>
    <t> -0.011 </t>
  </si>
  <si>
    <t>2444713.372 </t>
  </si>
  <si>
    <t> 18.04.1981 20:55 </t>
  </si>
  <si>
    <t> 0.015 </t>
  </si>
  <si>
    <t>2444717.388 </t>
  </si>
  <si>
    <t> 22.04.1981 21:18 </t>
  </si>
  <si>
    <t>2444919.653 </t>
  </si>
  <si>
    <t> 11.11.1981 03:40 </t>
  </si>
  <si>
    <t> BBS 57 </t>
  </si>
  <si>
    <t>2444986.383 </t>
  </si>
  <si>
    <t> 16.01.1982 21:11 </t>
  </si>
  <si>
    <t> G.Mavrofridis </t>
  </si>
  <si>
    <t> BBS 58 </t>
  </si>
  <si>
    <t>2445077.404 </t>
  </si>
  <si>
    <t> 17.04.1982 21:41 </t>
  </si>
  <si>
    <t> 0.002 </t>
  </si>
  <si>
    <t> BBS 60 </t>
  </si>
  <si>
    <t>2445077.406 </t>
  </si>
  <si>
    <t> 17.04.1982 21:44 </t>
  </si>
  <si>
    <t>2445338.278 </t>
  </si>
  <si>
    <t> 03.01.1983 18:40 </t>
  </si>
  <si>
    <t> BBS 64 </t>
  </si>
  <si>
    <t>2445346.391 </t>
  </si>
  <si>
    <t> 11.01.1983 21:23 </t>
  </si>
  <si>
    <t> 0.001 </t>
  </si>
  <si>
    <t>2445435.367 </t>
  </si>
  <si>
    <t> 10.04.1983 20:48 </t>
  </si>
  <si>
    <t> G.Stefanopoulos </t>
  </si>
  <si>
    <t> BBS 67 </t>
  </si>
  <si>
    <t>2445437.414 </t>
  </si>
  <si>
    <t> 12.04.1983 21:56 </t>
  </si>
  <si>
    <t> 0.012 </t>
  </si>
  <si>
    <t>2445439.424 </t>
  </si>
  <si>
    <t> 14.04.1983 22:10 </t>
  </si>
  <si>
    <t> 0.000 </t>
  </si>
  <si>
    <t> BBS 66 </t>
  </si>
  <si>
    <t>2445623.467 </t>
  </si>
  <si>
    <t> 15.10.1983 23:12 </t>
  </si>
  <si>
    <t> -0.002 </t>
  </si>
  <si>
    <t> J.Borovicka </t>
  </si>
  <si>
    <t>2445623.481 </t>
  </si>
  <si>
    <t> 15.10.1983 23:32 </t>
  </si>
  <si>
    <t> V.Wagner </t>
  </si>
  <si>
    <t>2445694.253 </t>
  </si>
  <si>
    <t> 25.12.1983 18:04 </t>
  </si>
  <si>
    <t> M.Kohl </t>
  </si>
  <si>
    <t> BBS 70 </t>
  </si>
  <si>
    <t>2445698.300 </t>
  </si>
  <si>
    <t> 29.12.1983 19:12 </t>
  </si>
  <si>
    <t> -0.000 </t>
  </si>
  <si>
    <t>2445710.441 </t>
  </si>
  <si>
    <t> 10.01.1984 22:35 </t>
  </si>
  <si>
    <t>2445791.331 </t>
  </si>
  <si>
    <t> 31.03.1984 19:56 </t>
  </si>
  <si>
    <t>2445791.339 </t>
  </si>
  <si>
    <t> 31.03.1984 20:08 </t>
  </si>
  <si>
    <t> 0.005 </t>
  </si>
  <si>
    <t> BBS 72 </t>
  </si>
  <si>
    <t>2445805.484 </t>
  </si>
  <si>
    <t> 14.04.1984 23:36 </t>
  </si>
  <si>
    <t>2445878.309 </t>
  </si>
  <si>
    <t> 26.06.1984 19:24 </t>
  </si>
  <si>
    <t> BBS 73 </t>
  </si>
  <si>
    <t>2445880.327 </t>
  </si>
  <si>
    <t> 28.06.1984 19:50 </t>
  </si>
  <si>
    <t>2446153.351 </t>
  </si>
  <si>
    <t> 28.03.1985 20:25 </t>
  </si>
  <si>
    <t> BBS 76 </t>
  </si>
  <si>
    <t>2446167.505 </t>
  </si>
  <si>
    <t> 12.04.1985 00:07 </t>
  </si>
  <si>
    <t> BRNO 27 </t>
  </si>
  <si>
    <t>2446438.523 </t>
  </si>
  <si>
    <t> 08.01.1986 00:33 </t>
  </si>
  <si>
    <t> BRNO 28 </t>
  </si>
  <si>
    <t>2446519.445 </t>
  </si>
  <si>
    <t> 29.03.1986 22:40 </t>
  </si>
  <si>
    <t> 0.021 </t>
  </si>
  <si>
    <t> D.Hanzl </t>
  </si>
  <si>
    <t>2447233.370 </t>
  </si>
  <si>
    <t> 12.03.1988 20:52 </t>
  </si>
  <si>
    <t> BBS 88 </t>
  </si>
  <si>
    <t>2447239.439 </t>
  </si>
  <si>
    <t> 18.03.1988 22:32 </t>
  </si>
  <si>
    <t>2447591.348 </t>
  </si>
  <si>
    <t> 05.03.1989 20:21 </t>
  </si>
  <si>
    <t> BBS 91 </t>
  </si>
  <si>
    <t>2447593.359 </t>
  </si>
  <si>
    <t> 07.03.1989 20:36 </t>
  </si>
  <si>
    <t> A.Dedoch </t>
  </si>
  <si>
    <t> BRNO 30 </t>
  </si>
  <si>
    <t>2447597.416 </t>
  </si>
  <si>
    <t> 11.03.1989 21:59 </t>
  </si>
  <si>
    <t>2447947.295 </t>
  </si>
  <si>
    <t> 24.02.1990 19:04 </t>
  </si>
  <si>
    <t> BBS 94 </t>
  </si>
  <si>
    <t>2447955.393 </t>
  </si>
  <si>
    <t> 04.03.1990 21:25 </t>
  </si>
  <si>
    <t>2448404.392 </t>
  </si>
  <si>
    <t> 27.05.1991 21:24 </t>
  </si>
  <si>
    <t> BBS 98 </t>
  </si>
  <si>
    <t>2448766.400 </t>
  </si>
  <si>
    <t> 23.05.1992 21:36 </t>
  </si>
  <si>
    <t> 0.010 </t>
  </si>
  <si>
    <t> BBS 101 </t>
  </si>
  <si>
    <t>2448770.435 </t>
  </si>
  <si>
    <t> 27.05.1992 22:26 </t>
  </si>
  <si>
    <t> BRNO 31 </t>
  </si>
  <si>
    <t>2449480.3227 </t>
  </si>
  <si>
    <t> 07.05.1994 19:44 </t>
  </si>
  <si>
    <t> 0.0006 </t>
  </si>
  <si>
    <t>E </t>
  </si>
  <si>
    <t>G</t>
  </si>
  <si>
    <t> F.Agerer </t>
  </si>
  <si>
    <t>BAVM 68 </t>
  </si>
  <si>
    <t>2449480.3234 </t>
  </si>
  <si>
    <t> 07.05.1994 19:45 </t>
  </si>
  <si>
    <t> 0.0013 </t>
  </si>
  <si>
    <t>B;V</t>
  </si>
  <si>
    <t>2449484.376 </t>
  </si>
  <si>
    <t> 11.05.1994 21:01 </t>
  </si>
  <si>
    <t> BBS 106 </t>
  </si>
  <si>
    <t>2449486.3907 </t>
  </si>
  <si>
    <t> 13.05.1994 21:22 </t>
  </si>
  <si>
    <t> 0.0012 </t>
  </si>
  <si>
    <t>2449486.3913 </t>
  </si>
  <si>
    <t> 13.05.1994 21:23 </t>
  </si>
  <si>
    <t> 0.0018 </t>
  </si>
  <si>
    <t>2449486.392 </t>
  </si>
  <si>
    <t> 13.05.1994 21:24 </t>
  </si>
  <si>
    <t>2449488.413 </t>
  </si>
  <si>
    <t> 15.05.1994 21:54 </t>
  </si>
  <si>
    <t> L.Brat </t>
  </si>
  <si>
    <t>2449749.3252 </t>
  </si>
  <si>
    <t> 31.01.1995 19:48 </t>
  </si>
  <si>
    <t> 0.0144 </t>
  </si>
  <si>
    <t> P.Sobotka </t>
  </si>
  <si>
    <t> BRNO 32 </t>
  </si>
  <si>
    <t>2449844.365 </t>
  </si>
  <si>
    <t> 06.05.1995 20:45 </t>
  </si>
  <si>
    <t> BBS 109 </t>
  </si>
  <si>
    <t>2450570.423 </t>
  </si>
  <si>
    <t> 01.05.1997 22:09 </t>
  </si>
  <si>
    <t> BBS 115 </t>
  </si>
  <si>
    <t>2450586.614 </t>
  </si>
  <si>
    <t> 18.05.1997 02:44 </t>
  </si>
  <si>
    <t> S.Cook </t>
  </si>
  <si>
    <t> JAAVSO 41;122 </t>
  </si>
  <si>
    <t>2450849.5293 </t>
  </si>
  <si>
    <t> 05.02.1998 00:42 </t>
  </si>
  <si>
    <t> -0.0060 </t>
  </si>
  <si>
    <t>?</t>
  </si>
  <si>
    <t> J.Safar </t>
  </si>
  <si>
    <t>IBVS 4888 </t>
  </si>
  <si>
    <t>2451658.5136 </t>
  </si>
  <si>
    <t> 24.04.2000 00:19 </t>
  </si>
  <si>
    <t> -0.0103 </t>
  </si>
  <si>
    <t> J.Zahajsky </t>
  </si>
  <si>
    <t>2452368.4002 </t>
  </si>
  <si>
    <t> 03.04.2002 21:36 </t>
  </si>
  <si>
    <t> -0.0112 </t>
  </si>
  <si>
    <t>o</t>
  </si>
  <si>
    <t>BAVM 158 </t>
  </si>
  <si>
    <t>2452372.4445 </t>
  </si>
  <si>
    <t> 07.04.2002 22:40 </t>
  </si>
  <si>
    <t> -0.0118 </t>
  </si>
  <si>
    <t>V;-I</t>
  </si>
  <si>
    <t> K.&amp; M.Rätz </t>
  </si>
  <si>
    <t>2452730.4242 </t>
  </si>
  <si>
    <t> 31.03.2003 22:10 </t>
  </si>
  <si>
    <t> -0.0096 </t>
  </si>
  <si>
    <t>-I</t>
  </si>
  <si>
    <t>2452997.312 </t>
  </si>
  <si>
    <t> 23.12.2003 19:29 </t>
  </si>
  <si>
    <t>3737</t>
  </si>
  <si>
    <t> -0.088 </t>
  </si>
  <si>
    <t> M.Machon </t>
  </si>
  <si>
    <t>OEJV 0074 </t>
  </si>
  <si>
    <t>2453094.4729 </t>
  </si>
  <si>
    <t> 29.03.2004 23:20 </t>
  </si>
  <si>
    <t>3785</t>
  </si>
  <si>
    <t> -0.0057 </t>
  </si>
  <si>
    <t>BAVM 172 </t>
  </si>
  <si>
    <t>2453405.9336 </t>
  </si>
  <si>
    <t> 04.02.2005 10:24 </t>
  </si>
  <si>
    <t>3939</t>
  </si>
  <si>
    <t> -0.0056 </t>
  </si>
  <si>
    <t> C.-H.Kim et al. </t>
  </si>
  <si>
    <t>IBVS 5694 </t>
  </si>
  <si>
    <t>2453428.1820 </t>
  </si>
  <si>
    <t> 26.02.2005 16:22 </t>
  </si>
  <si>
    <t>3950</t>
  </si>
  <si>
    <t> -0.0044 </t>
  </si>
  <si>
    <t> Nakajima </t>
  </si>
  <si>
    <t>VSB 44 </t>
  </si>
  <si>
    <t>2453711.3295 </t>
  </si>
  <si>
    <t> 06.12.2005 19:54 </t>
  </si>
  <si>
    <t>4090</t>
  </si>
  <si>
    <t> -0.0029 </t>
  </si>
  <si>
    <t>2453767.956 </t>
  </si>
  <si>
    <t> 01.02.2006 10:56 </t>
  </si>
  <si>
    <t>4118</t>
  </si>
  <si>
    <t> -0.006 </t>
  </si>
  <si>
    <t> K.Nagai et al. </t>
  </si>
  <si>
    <t>VSB 45 </t>
  </si>
  <si>
    <t>2453767.959 </t>
  </si>
  <si>
    <t> 01.02.2006 11:00 </t>
  </si>
  <si>
    <t>2454166.3883 </t>
  </si>
  <si>
    <t> 06.03.2007 21:19 </t>
  </si>
  <si>
    <t>4315</t>
  </si>
  <si>
    <t> -0.0002 </t>
  </si>
  <si>
    <t>C </t>
  </si>
  <si>
    <t> S.Dogru et al. </t>
  </si>
  <si>
    <t>IBVS 5893 </t>
  </si>
  <si>
    <t>2454532.4576 </t>
  </si>
  <si>
    <t> 06.03.2008 22:58 </t>
  </si>
  <si>
    <t>4496</t>
  </si>
  <si>
    <t> 0.0017 </t>
  </si>
  <si>
    <t>BAVM 201 </t>
  </si>
  <si>
    <t>2455158.4123 </t>
  </si>
  <si>
    <t> 22.11.2009 21:53 </t>
  </si>
  <si>
    <t>4805.5</t>
  </si>
  <si>
    <t> 0.0015 </t>
  </si>
  <si>
    <t> A.Liakos &amp; P.Niarchos </t>
  </si>
  <si>
    <t>IBVS 5943 </t>
  </si>
  <si>
    <t>2455329.3167 </t>
  </si>
  <si>
    <t> 12.05.2010 19:36 </t>
  </si>
  <si>
    <t>4890</t>
  </si>
  <si>
    <t> 0.0071 </t>
  </si>
  <si>
    <t>m</t>
  </si>
  <si>
    <t>IBVS 5988 </t>
  </si>
  <si>
    <t>2455559.8814 </t>
  </si>
  <si>
    <t> 29.12.2010 09:09 </t>
  </si>
  <si>
    <t>5004</t>
  </si>
  <si>
    <t> 0.0100 </t>
  </si>
  <si>
    <t>IBVS 5960 </t>
  </si>
  <si>
    <t>2455582.1291 </t>
  </si>
  <si>
    <t> 20.01.2011 15:05 </t>
  </si>
  <si>
    <t>5015</t>
  </si>
  <si>
    <t> 0.0105 </t>
  </si>
  <si>
    <t>Rc</t>
  </si>
  <si>
    <t> K.Shiokawa </t>
  </si>
  <si>
    <t>VSB 53 </t>
  </si>
  <si>
    <t>2455618.5343 </t>
  </si>
  <si>
    <t> 26.02.2011 00:49 </t>
  </si>
  <si>
    <t>5033</t>
  </si>
  <si>
    <t> 0.0112 </t>
  </si>
  <si>
    <t> M.&amp; K.Rätz </t>
  </si>
  <si>
    <t>BAVM 225 </t>
  </si>
  <si>
    <t>2455622.5802 </t>
  </si>
  <si>
    <t> 02.03.2011 01:55 </t>
  </si>
  <si>
    <t> 0.0122 </t>
  </si>
  <si>
    <t>BAVM 220 </t>
  </si>
  <si>
    <t>2455954.2701 </t>
  </si>
  <si>
    <t> 27.01.2012 18:28 </t>
  </si>
  <si>
    <t> 0.0168 </t>
  </si>
  <si>
    <t> H.Itoh </t>
  </si>
  <si>
    <t>VSB 55 </t>
  </si>
  <si>
    <t>2455990.6742 </t>
  </si>
  <si>
    <t> 04.03.2012 04:10 </t>
  </si>
  <si>
    <t> 0.0164 </t>
  </si>
  <si>
    <t>IBVS 6029 </t>
  </si>
  <si>
    <t>2456690.4535 </t>
  </si>
  <si>
    <t> 01.02.2014 22:53 </t>
  </si>
  <si>
    <t> 0.0205 </t>
  </si>
  <si>
    <t>BAVM 234 </t>
  </si>
  <si>
    <t>2457056.5252 </t>
  </si>
  <si>
    <t> 03.02.2015 00:36 </t>
  </si>
  <si>
    <t> 0.0249 </t>
  </si>
  <si>
    <t>BAVM 239 </t>
  </si>
  <si>
    <t>VSB 060</t>
  </si>
  <si>
    <t>OEJV 0211</t>
  </si>
  <si>
    <t>CCD?</t>
  </si>
  <si>
    <t>vis / 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</si>
</sst>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trike/>
      <sz val="10"/>
      <color indexed="23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4" borderId="20" xfId="0" applyFont="1" applyFill="1" applyBorder="1" applyAlignment="1">
      <alignment horizontal="left" vertical="top" wrapText="1" indent="1"/>
    </xf>
    <xf numFmtId="0" fontId="5" fillId="24" borderId="20" xfId="0" applyFont="1" applyFill="1" applyBorder="1" applyAlignment="1">
      <alignment horizontal="center" vertical="top" wrapText="1"/>
    </xf>
    <xf numFmtId="0" fontId="5" fillId="24" borderId="20" xfId="0" applyFont="1" applyFill="1" applyBorder="1" applyAlignment="1">
      <alignment horizontal="right" vertical="top" wrapText="1"/>
    </xf>
    <xf numFmtId="0" fontId="19" fillId="24" borderId="20" xfId="38" applyFill="1" applyBorder="1" applyAlignment="1" applyProtection="1">
      <alignment horizontal="right"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21" xfId="0" applyFont="1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Lyn - O-C Diagr.</a:t>
            </a:r>
          </a:p>
        </c:rich>
      </c:tx>
      <c:layout>
        <c:manualLayout>
          <c:xMode val="edge"/>
          <c:yMode val="edge"/>
          <c:x val="0.3722509559401521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0836507304402"/>
          <c:y val="0.14678942920199375"/>
          <c:w val="0.8054158824686086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-0.47002299999803654</c:v>
                </c:pt>
                <c:pt idx="1">
                  <c:v>-0.33577800000057323</c:v>
                </c:pt>
                <c:pt idx="2">
                  <c:v>-0.33691199999520904</c:v>
                </c:pt>
                <c:pt idx="3">
                  <c:v>-0.22486399999979767</c:v>
                </c:pt>
                <c:pt idx="4">
                  <c:v>-0.24952699999994365</c:v>
                </c:pt>
                <c:pt idx="5">
                  <c:v>-0.35035599999901024</c:v>
                </c:pt>
                <c:pt idx="6">
                  <c:v>-0.23556800000005751</c:v>
                </c:pt>
                <c:pt idx="7">
                  <c:v>-0.21151100000133738</c:v>
                </c:pt>
                <c:pt idx="8">
                  <c:v>-0.22345399999903748</c:v>
                </c:pt>
                <c:pt idx="9">
                  <c:v>-0.25539700000081211</c:v>
                </c:pt>
                <c:pt idx="10">
                  <c:v>-0.19643799999539624</c:v>
                </c:pt>
                <c:pt idx="11">
                  <c:v>-0.32274849999885191</c:v>
                </c:pt>
                <c:pt idx="12">
                  <c:v>-0.1984874999980093</c:v>
                </c:pt>
                <c:pt idx="13">
                  <c:v>-0.16140449999511475</c:v>
                </c:pt>
                <c:pt idx="14">
                  <c:v>-0.11952849999943282</c:v>
                </c:pt>
                <c:pt idx="15">
                  <c:v>-0.15047150000464171</c:v>
                </c:pt>
                <c:pt idx="16">
                  <c:v>-0.1189369999920018</c:v>
                </c:pt>
                <c:pt idx="17">
                  <c:v>-0.14684800000395626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B-4400-9D58-D717DB23A4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40">
                    <c:v>0</c:v>
                  </c:pt>
                  <c:pt idx="50">
                    <c:v>0</c:v>
                  </c:pt>
                  <c:pt idx="87">
                    <c:v>3.0000000000000001E-3</c:v>
                  </c:pt>
                  <c:pt idx="88">
                    <c:v>4.0000000000000001E-3</c:v>
                  </c:pt>
                  <c:pt idx="98">
                    <c:v>6.0000000000000001E-3</c:v>
                  </c:pt>
                  <c:pt idx="99">
                    <c:v>4.0000000000000001E-3</c:v>
                  </c:pt>
                  <c:pt idx="100">
                    <c:v>1.0002</c:v>
                  </c:pt>
                  <c:pt idx="101">
                    <c:v>2.8E-3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4.0000000000000002E-4</c:v>
                  </c:pt>
                  <c:pt idx="106">
                    <c:v>0</c:v>
                  </c:pt>
                  <c:pt idx="107">
                    <c:v>5.0000000000000001E-4</c:v>
                  </c:pt>
                  <c:pt idx="108">
                    <c:v>2.5999999999999999E-3</c:v>
                  </c:pt>
                  <c:pt idx="109">
                    <c:v>2.5999999999999999E-3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1.1999999999999999E-3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21">
                    <c:v>4.7999999999999996E-3</c:v>
                  </c:pt>
                  <c:pt idx="123">
                    <c:v>2.0000000000000001E-4</c:v>
                  </c:pt>
                  <c:pt idx="124">
                    <c:v>4.1999999999999997E-3</c:v>
                  </c:pt>
                  <c:pt idx="125">
                    <c:v>1.4999999999999999E-2</c:v>
                  </c:pt>
                  <c:pt idx="126">
                    <c:v>0</c:v>
                  </c:pt>
                  <c:pt idx="127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40">
                    <c:v>0</c:v>
                  </c:pt>
                  <c:pt idx="50">
                    <c:v>0</c:v>
                  </c:pt>
                  <c:pt idx="87">
                    <c:v>3.0000000000000001E-3</c:v>
                  </c:pt>
                  <c:pt idx="88">
                    <c:v>4.0000000000000001E-3</c:v>
                  </c:pt>
                  <c:pt idx="98">
                    <c:v>6.0000000000000001E-3</c:v>
                  </c:pt>
                  <c:pt idx="99">
                    <c:v>4.0000000000000001E-3</c:v>
                  </c:pt>
                  <c:pt idx="100">
                    <c:v>1.0002</c:v>
                  </c:pt>
                  <c:pt idx="101">
                    <c:v>2.8E-3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4.0000000000000002E-4</c:v>
                  </c:pt>
                  <c:pt idx="106">
                    <c:v>0</c:v>
                  </c:pt>
                  <c:pt idx="107">
                    <c:v>5.0000000000000001E-4</c:v>
                  </c:pt>
                  <c:pt idx="108">
                    <c:v>2.5999999999999999E-3</c:v>
                  </c:pt>
                  <c:pt idx="109">
                    <c:v>2.5999999999999999E-3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1.1999999999999999E-3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21">
                    <c:v>4.7999999999999996E-3</c:v>
                  </c:pt>
                  <c:pt idx="123">
                    <c:v>2.0000000000000001E-4</c:v>
                  </c:pt>
                  <c:pt idx="124">
                    <c:v>4.1999999999999997E-3</c:v>
                  </c:pt>
                  <c:pt idx="125">
                    <c:v>1.4999999999999999E-2</c:v>
                  </c:pt>
                  <c:pt idx="126">
                    <c:v>0</c:v>
                  </c:pt>
                  <c:pt idx="1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8">
                  <c:v>2.5405499996850267E-2</c:v>
                </c:pt>
                <c:pt idx="19">
                  <c:v>2.8405500001099426E-2</c:v>
                </c:pt>
                <c:pt idx="20">
                  <c:v>-7.0659999983035959E-3</c:v>
                </c:pt>
                <c:pt idx="21">
                  <c:v>-2.2009000000252854E-2</c:v>
                </c:pt>
                <c:pt idx="22">
                  <c:v>-2.3423499995260499E-2</c:v>
                </c:pt>
                <c:pt idx="23">
                  <c:v>-1.8423499997879844E-2</c:v>
                </c:pt>
                <c:pt idx="24">
                  <c:v>-3.5837999996147119E-2</c:v>
                </c:pt>
                <c:pt idx="25">
                  <c:v>-2.3055500001646578E-2</c:v>
                </c:pt>
                <c:pt idx="26">
                  <c:v>-1.427299999340903E-2</c:v>
                </c:pt>
                <c:pt idx="27">
                  <c:v>-2.0102000002225395E-2</c:v>
                </c:pt>
                <c:pt idx="28">
                  <c:v>-3.2189999998081475E-2</c:v>
                </c:pt>
                <c:pt idx="29">
                  <c:v>-2.5019000000611413E-2</c:v>
                </c:pt>
                <c:pt idx="30">
                  <c:v>-1.4236499999242369E-2</c:v>
                </c:pt>
                <c:pt idx="31">
                  <c:v>-2.6971999999659602E-2</c:v>
                </c:pt>
                <c:pt idx="32">
                  <c:v>-1.2205000020912848E-3</c:v>
                </c:pt>
                <c:pt idx="33">
                  <c:v>2.7794999987236224E-3</c:v>
                </c:pt>
                <c:pt idx="34">
                  <c:v>-2.002350000111619E-2</c:v>
                </c:pt>
                <c:pt idx="35">
                  <c:v>-1.5847000002395362E-2</c:v>
                </c:pt>
                <c:pt idx="36">
                  <c:v>-3.3184999992954545E-3</c:v>
                </c:pt>
                <c:pt idx="37">
                  <c:v>-9.2045000055804849E-3</c:v>
                </c:pt>
                <c:pt idx="38">
                  <c:v>-3.204500004358124E-3</c:v>
                </c:pt>
                <c:pt idx="39">
                  <c:v>-1.2045000039506704E-3</c:v>
                </c:pt>
                <c:pt idx="40">
                  <c:v>-1.040600000123959E-2</c:v>
                </c:pt>
                <c:pt idx="41">
                  <c:v>3.4904999993159436E-3</c:v>
                </c:pt>
                <c:pt idx="42">
                  <c:v>1.1086500002420507E-2</c:v>
                </c:pt>
                <c:pt idx="43">
                  <c:v>9.4700000045122579E-3</c:v>
                </c:pt>
                <c:pt idx="44">
                  <c:v>-1.2219000003824476E-2</c:v>
                </c:pt>
                <c:pt idx="45">
                  <c:v>1.4159500002278946E-2</c:v>
                </c:pt>
                <c:pt idx="46">
                  <c:v>3.6570000011124648E-3</c:v>
                </c:pt>
                <c:pt idx="47">
                  <c:v>6.1855000021751039E-3</c:v>
                </c:pt>
                <c:pt idx="48">
                  <c:v>-5.2859999996144325E-3</c:v>
                </c:pt>
                <c:pt idx="49">
                  <c:v>4.3565000014496036E-3</c:v>
                </c:pt>
                <c:pt idx="50">
                  <c:v>-2.4731499994231854E-2</c:v>
                </c:pt>
                <c:pt idx="51">
                  <c:v>-1.0731499998655636E-2</c:v>
                </c:pt>
                <c:pt idx="52">
                  <c:v>1.5268500006641261E-2</c:v>
                </c:pt>
                <c:pt idx="53">
                  <c:v>-1.3674499998160172E-2</c:v>
                </c:pt>
                <c:pt idx="54">
                  <c:v>4.1754999983822927E-3</c:v>
                </c:pt>
                <c:pt idx="56">
                  <c:v>-7.3839999968186021E-3</c:v>
                </c:pt>
                <c:pt idx="58">
                  <c:v>2.3985000007087365E-3</c:v>
                </c:pt>
                <c:pt idx="59">
                  <c:v>4.3985000011161901E-3</c:v>
                </c:pt>
                <c:pt idx="60">
                  <c:v>4.6499997552018613E-5</c:v>
                </c:pt>
                <c:pt idx="61">
                  <c:v>-2.2425000002840534E-2</c:v>
                </c:pt>
                <c:pt idx="62">
                  <c:v>6.8900000769644976E-4</c:v>
                </c:pt>
                <c:pt idx="63">
                  <c:v>-1.2056999999913387E-2</c:v>
                </c:pt>
                <c:pt idx="64">
                  <c:v>1.2471499998355284E-2</c:v>
                </c:pt>
                <c:pt idx="65">
                  <c:v>0</c:v>
                </c:pt>
                <c:pt idx="66">
                  <c:v>-1.9065000014961697E-3</c:v>
                </c:pt>
                <c:pt idx="67">
                  <c:v>1.2093500001356006E-2</c:v>
                </c:pt>
                <c:pt idx="68">
                  <c:v>-2.4090000006253831E-3</c:v>
                </c:pt>
                <c:pt idx="69">
                  <c:v>-3.5199999547330663E-4</c:v>
                </c:pt>
                <c:pt idx="70">
                  <c:v>5.81899999815505E-3</c:v>
                </c:pt>
                <c:pt idx="71">
                  <c:v>-3.04100000357721E-3</c:v>
                </c:pt>
                <c:pt idx="72">
                  <c:v>4.9589999980526045E-3</c:v>
                </c:pt>
                <c:pt idx="73">
                  <c:v>-7.3415000006207265E-3</c:v>
                </c:pt>
                <c:pt idx="74">
                  <c:v>8.6845000041648746E-3</c:v>
                </c:pt>
                <c:pt idx="75">
                  <c:v>4.2130000001634471E-3</c:v>
                </c:pt>
                <c:pt idx="76">
                  <c:v>-5.4394999970099889E-3</c:v>
                </c:pt>
                <c:pt idx="77">
                  <c:v>-8.740000004763715E-3</c:v>
                </c:pt>
                <c:pt idx="78">
                  <c:v>-1.9209999954910018E-3</c:v>
                </c:pt>
                <c:pt idx="79">
                  <c:v>2.1219000002020039E-2</c:v>
                </c:pt>
                <c:pt idx="80">
                  <c:v>1.3779500004602596E-2</c:v>
                </c:pt>
                <c:pt idx="81">
                  <c:v>1.5364999999292195E-2</c:v>
                </c:pt>
                <c:pt idx="82">
                  <c:v>1.4323999996122438E-2</c:v>
                </c:pt>
                <c:pt idx="83">
                  <c:v>2.8524999943329021E-3</c:v>
                </c:pt>
                <c:pt idx="84">
                  <c:v>1.4909500001522247E-2</c:v>
                </c:pt>
                <c:pt idx="85">
                  <c:v>6.339999999909196E-3</c:v>
                </c:pt>
                <c:pt idx="86">
                  <c:v>1.4453999996476341E-2</c:v>
                </c:pt>
                <c:pt idx="87">
                  <c:v>2.4781000000075437E-2</c:v>
                </c:pt>
                <c:pt idx="88">
                  <c:v>1.0382500004197937E-2</c:v>
                </c:pt>
                <c:pt idx="89">
                  <c:v>4.3949999962933362E-4</c:v>
                </c:pt>
                <c:pt idx="92">
                  <c:v>8.9999999981955625E-3</c:v>
                </c:pt>
                <c:pt idx="95">
                  <c:v>2.5285000010626391E-3</c:v>
                </c:pt>
                <c:pt idx="96">
                  <c:v>1.0570000013103709E-3</c:v>
                </c:pt>
                <c:pt idx="98">
                  <c:v>-1.9269999975222163E-3</c:v>
                </c:pt>
                <c:pt idx="99">
                  <c:v>-1.1195499995665159E-2</c:v>
                </c:pt>
                <c:pt idx="100">
                  <c:v>3.2500000088475645E-5</c:v>
                </c:pt>
                <c:pt idx="101">
                  <c:v>-5.9624999994412065E-3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B-4400-9D58-D717DB23A4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90">
                  <c:v>6.429999993997626E-4</c:v>
                </c:pt>
                <c:pt idx="91">
                  <c:v>1.3430000035441481E-3</c:v>
                </c:pt>
                <c:pt idx="93">
                  <c:v>1.2285000047995709E-3</c:v>
                </c:pt>
                <c:pt idx="94">
                  <c:v>1.8285000041942112E-3</c:v>
                </c:pt>
                <c:pt idx="103">
                  <c:v>-1.1159000001498498E-2</c:v>
                </c:pt>
                <c:pt idx="104">
                  <c:v>-1.1802000000898261E-2</c:v>
                </c:pt>
                <c:pt idx="105">
                  <c:v>-9.5574999941163696E-3</c:v>
                </c:pt>
                <c:pt idx="115">
                  <c:v>1.7359999983455054E-3</c:v>
                </c:pt>
                <c:pt idx="121">
                  <c:v>1.2197500000183936E-2</c:v>
                </c:pt>
                <c:pt idx="124">
                  <c:v>2.0545500003208872E-2</c:v>
                </c:pt>
                <c:pt idx="125">
                  <c:v>2.4903999998059589E-2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B-4400-9D58-D717DB23A4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7">
                  <c:v>1.4433500000450294E-2</c:v>
                </c:pt>
                <c:pt idx="102">
                  <c:v>-1.0262499999953434E-2</c:v>
                </c:pt>
                <c:pt idx="107">
                  <c:v>-5.7274999999208376E-3</c:v>
                </c:pt>
                <c:pt idx="108">
                  <c:v>-5.6384999988949858E-3</c:v>
                </c:pt>
                <c:pt idx="109">
                  <c:v>-5.6384999988949858E-3</c:v>
                </c:pt>
                <c:pt idx="110">
                  <c:v>-4.4249999991734512E-3</c:v>
                </c:pt>
                <c:pt idx="111">
                  <c:v>-2.9349999967962503E-3</c:v>
                </c:pt>
                <c:pt idx="112">
                  <c:v>-5.6370000020251609E-3</c:v>
                </c:pt>
                <c:pt idx="113">
                  <c:v>-2.6369999977760017E-3</c:v>
                </c:pt>
                <c:pt idx="114">
                  <c:v>-2.2249999892665073E-4</c:v>
                </c:pt>
                <c:pt idx="116">
                  <c:v>1.5067500062286854E-3</c:v>
                </c:pt>
                <c:pt idx="117">
                  <c:v>7.0650000052410178E-3</c:v>
                </c:pt>
                <c:pt idx="118">
                  <c:v>1.0013999999500811E-2</c:v>
                </c:pt>
                <c:pt idx="119">
                  <c:v>1.0527500002353918E-2</c:v>
                </c:pt>
                <c:pt idx="120">
                  <c:v>1.1240499996347353E-2</c:v>
                </c:pt>
                <c:pt idx="122">
                  <c:v>1.6771500006143469E-2</c:v>
                </c:pt>
                <c:pt idx="123">
                  <c:v>1.6384499998821411E-2</c:v>
                </c:pt>
                <c:pt idx="126">
                  <c:v>2.6406999997561797E-2</c:v>
                </c:pt>
                <c:pt idx="127">
                  <c:v>2.8547999914735556E-2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B-4400-9D58-D717DB23A4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BB-4400-9D58-D717DB23A4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B-4400-9D58-D717DB23A4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BB-4400-9D58-D717DB23A4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61">
                  <c:v>-7.6884548234871827E-2</c:v>
                </c:pt>
                <c:pt idx="83">
                  <c:v>-5.754971654953258E-2</c:v>
                </c:pt>
                <c:pt idx="92">
                  <c:v>-4.1336202983799662E-2</c:v>
                </c:pt>
                <c:pt idx="93">
                  <c:v>-4.1318862327579628E-2</c:v>
                </c:pt>
                <c:pt idx="94">
                  <c:v>-4.1318862327579628E-2</c:v>
                </c:pt>
                <c:pt idx="95">
                  <c:v>-4.1318862327579628E-2</c:v>
                </c:pt>
                <c:pt idx="96">
                  <c:v>-4.1301521671359594E-2</c:v>
                </c:pt>
                <c:pt idx="97">
                  <c:v>-3.9064577018975054E-2</c:v>
                </c:pt>
                <c:pt idx="98">
                  <c:v>-3.8249566176633401E-2</c:v>
                </c:pt>
                <c:pt idx="99">
                  <c:v>-3.2024270593640762E-2</c:v>
                </c:pt>
                <c:pt idx="100">
                  <c:v>-3.1885545343880481E-2</c:v>
                </c:pt>
                <c:pt idx="101">
                  <c:v>-2.96312600352759E-2</c:v>
                </c:pt>
                <c:pt idx="102">
                  <c:v>-2.2694997547261821E-2</c:v>
                </c:pt>
                <c:pt idx="103">
                  <c:v>-1.6608427214029463E-2</c:v>
                </c:pt>
                <c:pt idx="104">
                  <c:v>-1.6573745901589394E-2</c:v>
                </c:pt>
                <c:pt idx="105">
                  <c:v>-1.350444975064316E-2</c:v>
                </c:pt>
                <c:pt idx="106">
                  <c:v>-1.1215483129598511E-2</c:v>
                </c:pt>
                <c:pt idx="107">
                  <c:v>-1.0383131631036824E-2</c:v>
                </c:pt>
                <c:pt idx="108">
                  <c:v>-7.7126705731514061E-3</c:v>
                </c:pt>
                <c:pt idx="109">
                  <c:v>-7.7126705731514061E-3</c:v>
                </c:pt>
                <c:pt idx="110">
                  <c:v>-7.5219233547310221E-3</c:v>
                </c:pt>
                <c:pt idx="111">
                  <c:v>-5.0942314839260844E-3</c:v>
                </c:pt>
                <c:pt idx="112">
                  <c:v>-4.6086931097651107E-3</c:v>
                </c:pt>
                <c:pt idx="113">
                  <c:v>-4.6086931097651107E-3</c:v>
                </c:pt>
                <c:pt idx="114">
                  <c:v>-1.1925838344181705E-3</c:v>
                </c:pt>
                <c:pt idx="115">
                  <c:v>1.9460749414082074E-3</c:v>
                </c:pt>
                <c:pt idx="116">
                  <c:v>7.3130080415090976E-3</c:v>
                </c:pt>
                <c:pt idx="117">
                  <c:v>8.7782934921020739E-3</c:v>
                </c:pt>
                <c:pt idx="118">
                  <c:v>1.0755128301186093E-2</c:v>
                </c:pt>
                <c:pt idx="119">
                  <c:v>1.0945875519606477E-2</c:v>
                </c:pt>
                <c:pt idx="120">
                  <c:v>1.1258007331567108E-2</c:v>
                </c:pt>
                <c:pt idx="121">
                  <c:v>1.1292688644007176E-2</c:v>
                </c:pt>
                <c:pt idx="122">
                  <c:v>1.413655626409295E-2</c:v>
                </c:pt>
                <c:pt idx="123">
                  <c:v>1.4448688076053581E-2</c:v>
                </c:pt>
                <c:pt idx="124">
                  <c:v>2.0448555128185761E-2</c:v>
                </c:pt>
                <c:pt idx="125">
                  <c:v>2.3587213904012139E-2</c:v>
                </c:pt>
                <c:pt idx="126">
                  <c:v>2.6327037586777693E-2</c:v>
                </c:pt>
                <c:pt idx="127">
                  <c:v>2.955239964370425E-2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B-4400-9D58-D717DB23A434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  <c:pt idx="55">
                  <c:v>-0.456832249998115</c:v>
                </c:pt>
                <c:pt idx="57">
                  <c:v>-0.40160150000156136</c:v>
                </c:pt>
                <c:pt idx="106">
                  <c:v>-8.7335499993059784E-2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BB-4400-9D58-D717DB23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013008"/>
        <c:axId val="1"/>
      </c:scatterChart>
      <c:valAx>
        <c:axId val="925013008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9196699397347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013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20829947018044"/>
          <c:y val="0.9204921861831491"/>
          <c:w val="0.803723747729503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Lyn - O-C Diagr.</a:t>
            </a:r>
          </a:p>
        </c:rich>
      </c:tx>
      <c:layout>
        <c:manualLayout>
          <c:xMode val="edge"/>
          <c:yMode val="edge"/>
          <c:x val="0.3716219763070156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5958067163473"/>
          <c:y val="0.14634168126798494"/>
          <c:w val="0.79898714549061167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-0.47002299999803654</c:v>
                </c:pt>
                <c:pt idx="1">
                  <c:v>-0.33577800000057323</c:v>
                </c:pt>
                <c:pt idx="2">
                  <c:v>-0.33691199999520904</c:v>
                </c:pt>
                <c:pt idx="3">
                  <c:v>-0.22486399999979767</c:v>
                </c:pt>
                <c:pt idx="4">
                  <c:v>-0.24952699999994365</c:v>
                </c:pt>
                <c:pt idx="5">
                  <c:v>-0.35035599999901024</c:v>
                </c:pt>
                <c:pt idx="6">
                  <c:v>-0.23556800000005751</c:v>
                </c:pt>
                <c:pt idx="7">
                  <c:v>-0.21151100000133738</c:v>
                </c:pt>
                <c:pt idx="8">
                  <c:v>-0.22345399999903748</c:v>
                </c:pt>
                <c:pt idx="9">
                  <c:v>-0.25539700000081211</c:v>
                </c:pt>
                <c:pt idx="10">
                  <c:v>-0.19643799999539624</c:v>
                </c:pt>
                <c:pt idx="11">
                  <c:v>-0.32274849999885191</c:v>
                </c:pt>
                <c:pt idx="12">
                  <c:v>-0.1984874999980093</c:v>
                </c:pt>
                <c:pt idx="13">
                  <c:v>-0.16140449999511475</c:v>
                </c:pt>
                <c:pt idx="14">
                  <c:v>-0.11952849999943282</c:v>
                </c:pt>
                <c:pt idx="15">
                  <c:v>-0.15047150000464171</c:v>
                </c:pt>
                <c:pt idx="16">
                  <c:v>-0.1189369999920018</c:v>
                </c:pt>
                <c:pt idx="17">
                  <c:v>-0.14684800000395626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D1-4D03-993C-DF040D0F69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40">
                    <c:v>0</c:v>
                  </c:pt>
                  <c:pt idx="50">
                    <c:v>0</c:v>
                  </c:pt>
                  <c:pt idx="87">
                    <c:v>3.0000000000000001E-3</c:v>
                  </c:pt>
                  <c:pt idx="88">
                    <c:v>4.0000000000000001E-3</c:v>
                  </c:pt>
                  <c:pt idx="98">
                    <c:v>6.0000000000000001E-3</c:v>
                  </c:pt>
                  <c:pt idx="99">
                    <c:v>4.0000000000000001E-3</c:v>
                  </c:pt>
                  <c:pt idx="100">
                    <c:v>1.0002</c:v>
                  </c:pt>
                  <c:pt idx="101">
                    <c:v>2.8E-3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4.0000000000000002E-4</c:v>
                  </c:pt>
                  <c:pt idx="106">
                    <c:v>0</c:v>
                  </c:pt>
                  <c:pt idx="107">
                    <c:v>5.0000000000000001E-4</c:v>
                  </c:pt>
                  <c:pt idx="108">
                    <c:v>2.5999999999999999E-3</c:v>
                  </c:pt>
                  <c:pt idx="109">
                    <c:v>2.5999999999999999E-3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1.1999999999999999E-3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21">
                    <c:v>4.7999999999999996E-3</c:v>
                  </c:pt>
                  <c:pt idx="123">
                    <c:v>2.0000000000000001E-4</c:v>
                  </c:pt>
                  <c:pt idx="124">
                    <c:v>4.1999999999999997E-3</c:v>
                  </c:pt>
                  <c:pt idx="125">
                    <c:v>1.4999999999999999E-2</c:v>
                  </c:pt>
                  <c:pt idx="126">
                    <c:v>0</c:v>
                  </c:pt>
                  <c:pt idx="127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40">
                    <c:v>0</c:v>
                  </c:pt>
                  <c:pt idx="50">
                    <c:v>0</c:v>
                  </c:pt>
                  <c:pt idx="87">
                    <c:v>3.0000000000000001E-3</c:v>
                  </c:pt>
                  <c:pt idx="88">
                    <c:v>4.0000000000000001E-3</c:v>
                  </c:pt>
                  <c:pt idx="98">
                    <c:v>6.0000000000000001E-3</c:v>
                  </c:pt>
                  <c:pt idx="99">
                    <c:v>4.0000000000000001E-3</c:v>
                  </c:pt>
                  <c:pt idx="100">
                    <c:v>1.0002</c:v>
                  </c:pt>
                  <c:pt idx="101">
                    <c:v>2.8E-3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4.0000000000000002E-4</c:v>
                  </c:pt>
                  <c:pt idx="106">
                    <c:v>0</c:v>
                  </c:pt>
                  <c:pt idx="107">
                    <c:v>5.0000000000000001E-4</c:v>
                  </c:pt>
                  <c:pt idx="108">
                    <c:v>2.5999999999999999E-3</c:v>
                  </c:pt>
                  <c:pt idx="109">
                    <c:v>2.5999999999999999E-3</c:v>
                  </c:pt>
                  <c:pt idx="114">
                    <c:v>2.0000000000000001E-4</c:v>
                  </c:pt>
                  <c:pt idx="115">
                    <c:v>2.9999999999999997E-4</c:v>
                  </c:pt>
                  <c:pt idx="116">
                    <c:v>1.1999999999999999E-3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21">
                    <c:v>4.7999999999999996E-3</c:v>
                  </c:pt>
                  <c:pt idx="123">
                    <c:v>2.0000000000000001E-4</c:v>
                  </c:pt>
                  <c:pt idx="124">
                    <c:v>4.1999999999999997E-3</c:v>
                  </c:pt>
                  <c:pt idx="125">
                    <c:v>1.4999999999999999E-2</c:v>
                  </c:pt>
                  <c:pt idx="126">
                    <c:v>0</c:v>
                  </c:pt>
                  <c:pt idx="1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8">
                  <c:v>2.5405499996850267E-2</c:v>
                </c:pt>
                <c:pt idx="19">
                  <c:v>2.8405500001099426E-2</c:v>
                </c:pt>
                <c:pt idx="20">
                  <c:v>-7.0659999983035959E-3</c:v>
                </c:pt>
                <c:pt idx="21">
                  <c:v>-2.2009000000252854E-2</c:v>
                </c:pt>
                <c:pt idx="22">
                  <c:v>-2.3423499995260499E-2</c:v>
                </c:pt>
                <c:pt idx="23">
                  <c:v>-1.8423499997879844E-2</c:v>
                </c:pt>
                <c:pt idx="24">
                  <c:v>-3.5837999996147119E-2</c:v>
                </c:pt>
                <c:pt idx="25">
                  <c:v>-2.3055500001646578E-2</c:v>
                </c:pt>
                <c:pt idx="26">
                  <c:v>-1.427299999340903E-2</c:v>
                </c:pt>
                <c:pt idx="27">
                  <c:v>-2.0102000002225395E-2</c:v>
                </c:pt>
                <c:pt idx="28">
                  <c:v>-3.2189999998081475E-2</c:v>
                </c:pt>
                <c:pt idx="29">
                  <c:v>-2.5019000000611413E-2</c:v>
                </c:pt>
                <c:pt idx="30">
                  <c:v>-1.4236499999242369E-2</c:v>
                </c:pt>
                <c:pt idx="31">
                  <c:v>-2.6971999999659602E-2</c:v>
                </c:pt>
                <c:pt idx="32">
                  <c:v>-1.2205000020912848E-3</c:v>
                </c:pt>
                <c:pt idx="33">
                  <c:v>2.7794999987236224E-3</c:v>
                </c:pt>
                <c:pt idx="34">
                  <c:v>-2.002350000111619E-2</c:v>
                </c:pt>
                <c:pt idx="35">
                  <c:v>-1.5847000002395362E-2</c:v>
                </c:pt>
                <c:pt idx="36">
                  <c:v>-3.3184999992954545E-3</c:v>
                </c:pt>
                <c:pt idx="37">
                  <c:v>-9.2045000055804849E-3</c:v>
                </c:pt>
                <c:pt idx="38">
                  <c:v>-3.204500004358124E-3</c:v>
                </c:pt>
                <c:pt idx="39">
                  <c:v>-1.2045000039506704E-3</c:v>
                </c:pt>
                <c:pt idx="40">
                  <c:v>-1.040600000123959E-2</c:v>
                </c:pt>
                <c:pt idx="41">
                  <c:v>3.4904999993159436E-3</c:v>
                </c:pt>
                <c:pt idx="42">
                  <c:v>1.1086500002420507E-2</c:v>
                </c:pt>
                <c:pt idx="43">
                  <c:v>9.4700000045122579E-3</c:v>
                </c:pt>
                <c:pt idx="44">
                  <c:v>-1.2219000003824476E-2</c:v>
                </c:pt>
                <c:pt idx="45">
                  <c:v>1.4159500002278946E-2</c:v>
                </c:pt>
                <c:pt idx="46">
                  <c:v>3.6570000011124648E-3</c:v>
                </c:pt>
                <c:pt idx="47">
                  <c:v>6.1855000021751039E-3</c:v>
                </c:pt>
                <c:pt idx="48">
                  <c:v>-5.2859999996144325E-3</c:v>
                </c:pt>
                <c:pt idx="49">
                  <c:v>4.3565000014496036E-3</c:v>
                </c:pt>
                <c:pt idx="50">
                  <c:v>-2.4731499994231854E-2</c:v>
                </c:pt>
                <c:pt idx="51">
                  <c:v>-1.0731499998655636E-2</c:v>
                </c:pt>
                <c:pt idx="52">
                  <c:v>1.5268500006641261E-2</c:v>
                </c:pt>
                <c:pt idx="53">
                  <c:v>-1.3674499998160172E-2</c:v>
                </c:pt>
                <c:pt idx="54">
                  <c:v>4.1754999983822927E-3</c:v>
                </c:pt>
                <c:pt idx="56">
                  <c:v>-7.3839999968186021E-3</c:v>
                </c:pt>
                <c:pt idx="58">
                  <c:v>2.3985000007087365E-3</c:v>
                </c:pt>
                <c:pt idx="59">
                  <c:v>4.3985000011161901E-3</c:v>
                </c:pt>
                <c:pt idx="60">
                  <c:v>4.6499997552018613E-5</c:v>
                </c:pt>
                <c:pt idx="61">
                  <c:v>-2.2425000002840534E-2</c:v>
                </c:pt>
                <c:pt idx="62">
                  <c:v>6.8900000769644976E-4</c:v>
                </c:pt>
                <c:pt idx="63">
                  <c:v>-1.2056999999913387E-2</c:v>
                </c:pt>
                <c:pt idx="64">
                  <c:v>1.2471499998355284E-2</c:v>
                </c:pt>
                <c:pt idx="65">
                  <c:v>0</c:v>
                </c:pt>
                <c:pt idx="66">
                  <c:v>-1.9065000014961697E-3</c:v>
                </c:pt>
                <c:pt idx="67">
                  <c:v>1.2093500001356006E-2</c:v>
                </c:pt>
                <c:pt idx="68">
                  <c:v>-2.4090000006253831E-3</c:v>
                </c:pt>
                <c:pt idx="69">
                  <c:v>-3.5199999547330663E-4</c:v>
                </c:pt>
                <c:pt idx="70">
                  <c:v>5.81899999815505E-3</c:v>
                </c:pt>
                <c:pt idx="71">
                  <c:v>-3.04100000357721E-3</c:v>
                </c:pt>
                <c:pt idx="72">
                  <c:v>4.9589999980526045E-3</c:v>
                </c:pt>
                <c:pt idx="73">
                  <c:v>-7.3415000006207265E-3</c:v>
                </c:pt>
                <c:pt idx="74">
                  <c:v>8.6845000041648746E-3</c:v>
                </c:pt>
                <c:pt idx="75">
                  <c:v>4.2130000001634471E-3</c:v>
                </c:pt>
                <c:pt idx="76">
                  <c:v>-5.4394999970099889E-3</c:v>
                </c:pt>
                <c:pt idx="77">
                  <c:v>-8.740000004763715E-3</c:v>
                </c:pt>
                <c:pt idx="78">
                  <c:v>-1.9209999954910018E-3</c:v>
                </c:pt>
                <c:pt idx="79">
                  <c:v>2.1219000002020039E-2</c:v>
                </c:pt>
                <c:pt idx="80">
                  <c:v>1.3779500004602596E-2</c:v>
                </c:pt>
                <c:pt idx="81">
                  <c:v>1.5364999999292195E-2</c:v>
                </c:pt>
                <c:pt idx="82">
                  <c:v>1.4323999996122438E-2</c:v>
                </c:pt>
                <c:pt idx="83">
                  <c:v>2.8524999943329021E-3</c:v>
                </c:pt>
                <c:pt idx="84">
                  <c:v>1.4909500001522247E-2</c:v>
                </c:pt>
                <c:pt idx="85">
                  <c:v>6.339999999909196E-3</c:v>
                </c:pt>
                <c:pt idx="86">
                  <c:v>1.4453999996476341E-2</c:v>
                </c:pt>
                <c:pt idx="87">
                  <c:v>2.4781000000075437E-2</c:v>
                </c:pt>
                <c:pt idx="88">
                  <c:v>1.0382500004197937E-2</c:v>
                </c:pt>
                <c:pt idx="89">
                  <c:v>4.3949999962933362E-4</c:v>
                </c:pt>
                <c:pt idx="92">
                  <c:v>8.9999999981955625E-3</c:v>
                </c:pt>
                <c:pt idx="95">
                  <c:v>2.5285000010626391E-3</c:v>
                </c:pt>
                <c:pt idx="96">
                  <c:v>1.0570000013103709E-3</c:v>
                </c:pt>
                <c:pt idx="98">
                  <c:v>-1.9269999975222163E-3</c:v>
                </c:pt>
                <c:pt idx="99">
                  <c:v>-1.1195499995665159E-2</c:v>
                </c:pt>
                <c:pt idx="100">
                  <c:v>3.2500000088475645E-5</c:v>
                </c:pt>
                <c:pt idx="101">
                  <c:v>-5.9624999994412065E-3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D1-4D03-993C-DF040D0F69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90">
                  <c:v>6.429999993997626E-4</c:v>
                </c:pt>
                <c:pt idx="91">
                  <c:v>1.3430000035441481E-3</c:v>
                </c:pt>
                <c:pt idx="93">
                  <c:v>1.2285000047995709E-3</c:v>
                </c:pt>
                <c:pt idx="94">
                  <c:v>1.8285000041942112E-3</c:v>
                </c:pt>
                <c:pt idx="103">
                  <c:v>-1.1159000001498498E-2</c:v>
                </c:pt>
                <c:pt idx="104">
                  <c:v>-1.1802000000898261E-2</c:v>
                </c:pt>
                <c:pt idx="105">
                  <c:v>-9.5574999941163696E-3</c:v>
                </c:pt>
                <c:pt idx="115">
                  <c:v>1.7359999983455054E-3</c:v>
                </c:pt>
                <c:pt idx="121">
                  <c:v>1.2197500000183936E-2</c:v>
                </c:pt>
                <c:pt idx="124">
                  <c:v>2.0545500003208872E-2</c:v>
                </c:pt>
                <c:pt idx="125">
                  <c:v>2.4903999998059589E-2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D1-4D03-993C-DF040D0F69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7">
                  <c:v>1.4433500000450294E-2</c:v>
                </c:pt>
                <c:pt idx="102">
                  <c:v>-1.0262499999953434E-2</c:v>
                </c:pt>
                <c:pt idx="107">
                  <c:v>-5.7274999999208376E-3</c:v>
                </c:pt>
                <c:pt idx="108">
                  <c:v>-5.6384999988949858E-3</c:v>
                </c:pt>
                <c:pt idx="109">
                  <c:v>-5.6384999988949858E-3</c:v>
                </c:pt>
                <c:pt idx="110">
                  <c:v>-4.4249999991734512E-3</c:v>
                </c:pt>
                <c:pt idx="111">
                  <c:v>-2.9349999967962503E-3</c:v>
                </c:pt>
                <c:pt idx="112">
                  <c:v>-5.6370000020251609E-3</c:v>
                </c:pt>
                <c:pt idx="113">
                  <c:v>-2.6369999977760017E-3</c:v>
                </c:pt>
                <c:pt idx="114">
                  <c:v>-2.2249999892665073E-4</c:v>
                </c:pt>
                <c:pt idx="116">
                  <c:v>1.5067500062286854E-3</c:v>
                </c:pt>
                <c:pt idx="117">
                  <c:v>7.0650000052410178E-3</c:v>
                </c:pt>
                <c:pt idx="118">
                  <c:v>1.0013999999500811E-2</c:v>
                </c:pt>
                <c:pt idx="119">
                  <c:v>1.0527500002353918E-2</c:v>
                </c:pt>
                <c:pt idx="120">
                  <c:v>1.1240499996347353E-2</c:v>
                </c:pt>
                <c:pt idx="122">
                  <c:v>1.6771500006143469E-2</c:v>
                </c:pt>
                <c:pt idx="123">
                  <c:v>1.6384499998821411E-2</c:v>
                </c:pt>
                <c:pt idx="126">
                  <c:v>2.6406999997561797E-2</c:v>
                </c:pt>
                <c:pt idx="127">
                  <c:v>2.8547999914735556E-2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D1-4D03-993C-DF040D0F69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D1-4D03-993C-DF040D0F69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D1-4D03-993C-DF040D0F69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40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D1-4D03-993C-DF040D0F69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61">
                  <c:v>-7.6884548234871827E-2</c:v>
                </c:pt>
                <c:pt idx="83">
                  <c:v>-5.754971654953258E-2</c:v>
                </c:pt>
                <c:pt idx="92">
                  <c:v>-4.1336202983799662E-2</c:v>
                </c:pt>
                <c:pt idx="93">
                  <c:v>-4.1318862327579628E-2</c:v>
                </c:pt>
                <c:pt idx="94">
                  <c:v>-4.1318862327579628E-2</c:v>
                </c:pt>
                <c:pt idx="95">
                  <c:v>-4.1318862327579628E-2</c:v>
                </c:pt>
                <c:pt idx="96">
                  <c:v>-4.1301521671359594E-2</c:v>
                </c:pt>
                <c:pt idx="97">
                  <c:v>-3.9064577018975054E-2</c:v>
                </c:pt>
                <c:pt idx="98">
                  <c:v>-3.8249566176633401E-2</c:v>
                </c:pt>
                <c:pt idx="99">
                  <c:v>-3.2024270593640762E-2</c:v>
                </c:pt>
                <c:pt idx="100">
                  <c:v>-3.1885545343880481E-2</c:v>
                </c:pt>
                <c:pt idx="101">
                  <c:v>-2.96312600352759E-2</c:v>
                </c:pt>
                <c:pt idx="102">
                  <c:v>-2.2694997547261821E-2</c:v>
                </c:pt>
                <c:pt idx="103">
                  <c:v>-1.6608427214029463E-2</c:v>
                </c:pt>
                <c:pt idx="104">
                  <c:v>-1.6573745901589394E-2</c:v>
                </c:pt>
                <c:pt idx="105">
                  <c:v>-1.350444975064316E-2</c:v>
                </c:pt>
                <c:pt idx="106">
                  <c:v>-1.1215483129598511E-2</c:v>
                </c:pt>
                <c:pt idx="107">
                  <c:v>-1.0383131631036824E-2</c:v>
                </c:pt>
                <c:pt idx="108">
                  <c:v>-7.7126705731514061E-3</c:v>
                </c:pt>
                <c:pt idx="109">
                  <c:v>-7.7126705731514061E-3</c:v>
                </c:pt>
                <c:pt idx="110">
                  <c:v>-7.5219233547310221E-3</c:v>
                </c:pt>
                <c:pt idx="111">
                  <c:v>-5.0942314839260844E-3</c:v>
                </c:pt>
                <c:pt idx="112">
                  <c:v>-4.6086931097651107E-3</c:v>
                </c:pt>
                <c:pt idx="113">
                  <c:v>-4.6086931097651107E-3</c:v>
                </c:pt>
                <c:pt idx="114">
                  <c:v>-1.1925838344181705E-3</c:v>
                </c:pt>
                <c:pt idx="115">
                  <c:v>1.9460749414082074E-3</c:v>
                </c:pt>
                <c:pt idx="116">
                  <c:v>7.3130080415090976E-3</c:v>
                </c:pt>
                <c:pt idx="117">
                  <c:v>8.7782934921020739E-3</c:v>
                </c:pt>
                <c:pt idx="118">
                  <c:v>1.0755128301186093E-2</c:v>
                </c:pt>
                <c:pt idx="119">
                  <c:v>1.0945875519606477E-2</c:v>
                </c:pt>
                <c:pt idx="120">
                  <c:v>1.1258007331567108E-2</c:v>
                </c:pt>
                <c:pt idx="121">
                  <c:v>1.1292688644007176E-2</c:v>
                </c:pt>
                <c:pt idx="122">
                  <c:v>1.413655626409295E-2</c:v>
                </c:pt>
                <c:pt idx="123">
                  <c:v>1.4448688076053581E-2</c:v>
                </c:pt>
                <c:pt idx="124">
                  <c:v>2.0448555128185761E-2</c:v>
                </c:pt>
                <c:pt idx="125">
                  <c:v>2.3587213904012139E-2</c:v>
                </c:pt>
                <c:pt idx="126">
                  <c:v>2.6327037586777693E-2</c:v>
                </c:pt>
                <c:pt idx="127">
                  <c:v>2.955239964370425E-2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D1-4D03-993C-DF040D0F69FE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-8878</c:v>
                </c:pt>
                <c:pt idx="1">
                  <c:v>-8308</c:v>
                </c:pt>
                <c:pt idx="2">
                  <c:v>-8032</c:v>
                </c:pt>
                <c:pt idx="3">
                  <c:v>-7504</c:v>
                </c:pt>
                <c:pt idx="4">
                  <c:v>-7422</c:v>
                </c:pt>
                <c:pt idx="5">
                  <c:v>-7416</c:v>
                </c:pt>
                <c:pt idx="6">
                  <c:v>-7248</c:v>
                </c:pt>
                <c:pt idx="7">
                  <c:v>-7246</c:v>
                </c:pt>
                <c:pt idx="8">
                  <c:v>-7244</c:v>
                </c:pt>
                <c:pt idx="9">
                  <c:v>-7242</c:v>
                </c:pt>
                <c:pt idx="10">
                  <c:v>-7068</c:v>
                </c:pt>
                <c:pt idx="11">
                  <c:v>-6921</c:v>
                </c:pt>
                <c:pt idx="12">
                  <c:v>-6175</c:v>
                </c:pt>
                <c:pt idx="13">
                  <c:v>-6137</c:v>
                </c:pt>
                <c:pt idx="14">
                  <c:v>-6001</c:v>
                </c:pt>
                <c:pt idx="15">
                  <c:v>-5999</c:v>
                </c:pt>
                <c:pt idx="16">
                  <c:v>-5682</c:v>
                </c:pt>
                <c:pt idx="17">
                  <c:v>-5328</c:v>
                </c:pt>
                <c:pt idx="18">
                  <c:v>-1477</c:v>
                </c:pt>
                <c:pt idx="19">
                  <c:v>-1477</c:v>
                </c:pt>
                <c:pt idx="20">
                  <c:v>-1476</c:v>
                </c:pt>
                <c:pt idx="21">
                  <c:v>-1474</c:v>
                </c:pt>
                <c:pt idx="22">
                  <c:v>-1471</c:v>
                </c:pt>
                <c:pt idx="23">
                  <c:v>-1471</c:v>
                </c:pt>
                <c:pt idx="24">
                  <c:v>-1468</c:v>
                </c:pt>
                <c:pt idx="25">
                  <c:v>-1423</c:v>
                </c:pt>
                <c:pt idx="26">
                  <c:v>-1378</c:v>
                </c:pt>
                <c:pt idx="27">
                  <c:v>-1372</c:v>
                </c:pt>
                <c:pt idx="28">
                  <c:v>-1340</c:v>
                </c:pt>
                <c:pt idx="29">
                  <c:v>-1334</c:v>
                </c:pt>
                <c:pt idx="30">
                  <c:v>-1289</c:v>
                </c:pt>
                <c:pt idx="31">
                  <c:v>-1192</c:v>
                </c:pt>
                <c:pt idx="32">
                  <c:v>-1113</c:v>
                </c:pt>
                <c:pt idx="33">
                  <c:v>-1113</c:v>
                </c:pt>
                <c:pt idx="34">
                  <c:v>-1071</c:v>
                </c:pt>
                <c:pt idx="35">
                  <c:v>-942</c:v>
                </c:pt>
                <c:pt idx="36">
                  <c:v>-941</c:v>
                </c:pt>
                <c:pt idx="37">
                  <c:v>-937</c:v>
                </c:pt>
                <c:pt idx="38">
                  <c:v>-937</c:v>
                </c:pt>
                <c:pt idx="39">
                  <c:v>-937</c:v>
                </c:pt>
                <c:pt idx="40">
                  <c:v>-716</c:v>
                </c:pt>
                <c:pt idx="41">
                  <c:v>-667</c:v>
                </c:pt>
                <c:pt idx="42">
                  <c:v>-611</c:v>
                </c:pt>
                <c:pt idx="43">
                  <c:v>-580</c:v>
                </c:pt>
                <c:pt idx="44">
                  <c:v>-534</c:v>
                </c:pt>
                <c:pt idx="45">
                  <c:v>-433</c:v>
                </c:pt>
                <c:pt idx="46">
                  <c:v>-398</c:v>
                </c:pt>
                <c:pt idx="47">
                  <c:v>-397</c:v>
                </c:pt>
                <c:pt idx="48">
                  <c:v>-396</c:v>
                </c:pt>
                <c:pt idx="49">
                  <c:v>-391</c:v>
                </c:pt>
                <c:pt idx="50">
                  <c:v>-359</c:v>
                </c:pt>
                <c:pt idx="51">
                  <c:v>-359</c:v>
                </c:pt>
                <c:pt idx="52">
                  <c:v>-359</c:v>
                </c:pt>
                <c:pt idx="53">
                  <c:v>-357</c:v>
                </c:pt>
                <c:pt idx="54">
                  <c:v>-257</c:v>
                </c:pt>
                <c:pt idx="55">
                  <c:v>-248.5</c:v>
                </c:pt>
                <c:pt idx="56">
                  <c:v>-224</c:v>
                </c:pt>
                <c:pt idx="57">
                  <c:v>-179</c:v>
                </c:pt>
                <c:pt idx="58">
                  <c:v>-179</c:v>
                </c:pt>
                <c:pt idx="59">
                  <c:v>-179</c:v>
                </c:pt>
                <c:pt idx="60">
                  <c:v>-51</c:v>
                </c:pt>
                <c:pt idx="61">
                  <c:v>-50</c:v>
                </c:pt>
                <c:pt idx="62">
                  <c:v>-46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91</c:v>
                </c:pt>
                <c:pt idx="67">
                  <c:v>91</c:v>
                </c:pt>
                <c:pt idx="68">
                  <c:v>126</c:v>
                </c:pt>
                <c:pt idx="69">
                  <c:v>128</c:v>
                </c:pt>
                <c:pt idx="70">
                  <c:v>134</c:v>
                </c:pt>
                <c:pt idx="71">
                  <c:v>174</c:v>
                </c:pt>
                <c:pt idx="72">
                  <c:v>174</c:v>
                </c:pt>
                <c:pt idx="73">
                  <c:v>181</c:v>
                </c:pt>
                <c:pt idx="74">
                  <c:v>217</c:v>
                </c:pt>
                <c:pt idx="75">
                  <c:v>218</c:v>
                </c:pt>
                <c:pt idx="76">
                  <c:v>353</c:v>
                </c:pt>
                <c:pt idx="77">
                  <c:v>360</c:v>
                </c:pt>
                <c:pt idx="78">
                  <c:v>494</c:v>
                </c:pt>
                <c:pt idx="79">
                  <c:v>534</c:v>
                </c:pt>
                <c:pt idx="80">
                  <c:v>887</c:v>
                </c:pt>
                <c:pt idx="81">
                  <c:v>890</c:v>
                </c:pt>
                <c:pt idx="82">
                  <c:v>1064</c:v>
                </c:pt>
                <c:pt idx="83">
                  <c:v>1065</c:v>
                </c:pt>
                <c:pt idx="84">
                  <c:v>1067</c:v>
                </c:pt>
                <c:pt idx="85">
                  <c:v>1240</c:v>
                </c:pt>
                <c:pt idx="86">
                  <c:v>1244</c:v>
                </c:pt>
                <c:pt idx="87">
                  <c:v>1466</c:v>
                </c:pt>
                <c:pt idx="88">
                  <c:v>1645</c:v>
                </c:pt>
                <c:pt idx="89">
                  <c:v>1647</c:v>
                </c:pt>
                <c:pt idx="90">
                  <c:v>1998</c:v>
                </c:pt>
                <c:pt idx="91">
                  <c:v>1998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2002</c:v>
                </c:pt>
                <c:pt idx="97">
                  <c:v>2131</c:v>
                </c:pt>
                <c:pt idx="98">
                  <c:v>2178</c:v>
                </c:pt>
                <c:pt idx="99">
                  <c:v>2537</c:v>
                </c:pt>
                <c:pt idx="100">
                  <c:v>2545</c:v>
                </c:pt>
                <c:pt idx="101">
                  <c:v>2675</c:v>
                </c:pt>
                <c:pt idx="102">
                  <c:v>3075</c:v>
                </c:pt>
                <c:pt idx="103">
                  <c:v>3426</c:v>
                </c:pt>
                <c:pt idx="104">
                  <c:v>3428</c:v>
                </c:pt>
                <c:pt idx="105">
                  <c:v>3605</c:v>
                </c:pt>
                <c:pt idx="106">
                  <c:v>3737</c:v>
                </c:pt>
                <c:pt idx="107">
                  <c:v>3785</c:v>
                </c:pt>
                <c:pt idx="108">
                  <c:v>3939</c:v>
                </c:pt>
                <c:pt idx="109">
                  <c:v>3939</c:v>
                </c:pt>
                <c:pt idx="110">
                  <c:v>3950</c:v>
                </c:pt>
                <c:pt idx="111">
                  <c:v>4090</c:v>
                </c:pt>
                <c:pt idx="112">
                  <c:v>4118</c:v>
                </c:pt>
                <c:pt idx="113">
                  <c:v>4118</c:v>
                </c:pt>
                <c:pt idx="114">
                  <c:v>4315</c:v>
                </c:pt>
                <c:pt idx="115">
                  <c:v>4496</c:v>
                </c:pt>
                <c:pt idx="116">
                  <c:v>4805.5</c:v>
                </c:pt>
                <c:pt idx="117">
                  <c:v>4890</c:v>
                </c:pt>
                <c:pt idx="118">
                  <c:v>5004</c:v>
                </c:pt>
                <c:pt idx="119">
                  <c:v>5015</c:v>
                </c:pt>
                <c:pt idx="120">
                  <c:v>5033</c:v>
                </c:pt>
                <c:pt idx="121">
                  <c:v>5035</c:v>
                </c:pt>
                <c:pt idx="122">
                  <c:v>5199</c:v>
                </c:pt>
                <c:pt idx="123">
                  <c:v>5217</c:v>
                </c:pt>
                <c:pt idx="124">
                  <c:v>5563</c:v>
                </c:pt>
                <c:pt idx="125">
                  <c:v>5744</c:v>
                </c:pt>
                <c:pt idx="126">
                  <c:v>5902</c:v>
                </c:pt>
                <c:pt idx="127">
                  <c:v>6088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  <c:pt idx="55">
                  <c:v>-0.456832249998115</c:v>
                </c:pt>
                <c:pt idx="57">
                  <c:v>-0.40160150000156136</c:v>
                </c:pt>
                <c:pt idx="106">
                  <c:v>-8.7335499993059784E-2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D1-4D03-993C-DF040D0F6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00704"/>
        <c:axId val="1"/>
      </c:scatterChart>
      <c:valAx>
        <c:axId val="85020070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4900333404274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20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27044761296729"/>
          <c:y val="0.92073298764483702"/>
          <c:w val="0.8023655742356529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18</xdr:col>
      <xdr:colOff>19050</xdr:colOff>
      <xdr:row>17</xdr:row>
      <xdr:rowOff>133350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8040FDCC-898A-BF28-FF0D-D837AC890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142875</xdr:colOff>
      <xdr:row>0</xdr:row>
      <xdr:rowOff>57150</xdr:rowOff>
    </xdr:from>
    <xdr:to>
      <xdr:col>27</xdr:col>
      <xdr:colOff>304800</xdr:colOff>
      <xdr:row>17</xdr:row>
      <xdr:rowOff>133350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FE470AE4-0771-5DE0-AC85-72841DA85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www.konkoly.hu/cgi-bin/IBVS?5943" TargetMode="External"/><Relationship Id="rId26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www.bav-astro.de/sfs/BAVM_link.php?BAVMnr=201" TargetMode="External"/><Relationship Id="rId25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konkoly.hu/cgi-bin/IBVS?5893" TargetMode="External"/><Relationship Id="rId20" Type="http://schemas.openxmlformats.org/officeDocument/2006/relationships/hyperlink" Target="http://www.konkoly.hu/cgi-bin/IBVS?5960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konkoly.hu/cgi-bin/IBVS?5694" TargetMode="External"/><Relationship Id="rId24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4888" TargetMode="External"/><Relationship Id="rId15" Type="http://schemas.openxmlformats.org/officeDocument/2006/relationships/hyperlink" Target="http://vsolj.cetus-net.org/no45.pdf" TargetMode="External"/><Relationship Id="rId23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solj.cetus-net.org/no45.pdf" TargetMode="External"/><Relationship Id="rId22" Type="http://schemas.openxmlformats.org/officeDocument/2006/relationships/hyperlink" Target="http://www.bav-astro.de/sfs/BAVM_link.php?BAVMnr=225" TargetMode="External"/><Relationship Id="rId27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0"/>
  <sheetViews>
    <sheetView tabSelected="1" workbookViewId="0">
      <pane xSplit="14" ySplit="22" topLeftCell="O130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18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0.28515625" customWidth="1"/>
    <col min="20" max="20" width="9.140625" customWidth="1"/>
  </cols>
  <sheetData>
    <row r="1" spans="1:6" ht="20.25" x14ac:dyDescent="0.3">
      <c r="A1" s="1" t="s">
        <v>90</v>
      </c>
    </row>
    <row r="2" spans="1:6" s="34" customFormat="1" ht="12.95" customHeight="1" x14ac:dyDescent="0.2">
      <c r="A2" s="34" t="s">
        <v>23</v>
      </c>
      <c r="B2" s="35" t="s">
        <v>87</v>
      </c>
      <c r="C2" s="36"/>
    </row>
    <row r="3" spans="1:6" s="34" customFormat="1" ht="12.95" customHeight="1" thickBot="1" x14ac:dyDescent="0.25">
      <c r="C3" s="36"/>
    </row>
    <row r="4" spans="1:6" s="34" customFormat="1" ht="12.95" customHeight="1" thickTop="1" thickBot="1" x14ac:dyDescent="0.25">
      <c r="A4" s="37" t="s">
        <v>0</v>
      </c>
      <c r="C4" s="38">
        <v>45439.423999999999</v>
      </c>
      <c r="D4" s="39">
        <v>2.0224715</v>
      </c>
    </row>
    <row r="5" spans="1:6" s="34" customFormat="1" ht="12.95" customHeight="1" thickTop="1" x14ac:dyDescent="0.2">
      <c r="A5" s="40" t="s">
        <v>101</v>
      </c>
      <c r="C5" s="41">
        <v>-9.5</v>
      </c>
      <c r="D5" s="34" t="s">
        <v>102</v>
      </c>
    </row>
    <row r="6" spans="1:6" s="34" customFormat="1" ht="12.95" customHeight="1" x14ac:dyDescent="0.2">
      <c r="A6" s="37" t="s">
        <v>1</v>
      </c>
      <c r="C6" s="36"/>
    </row>
    <row r="7" spans="1:6" s="34" customFormat="1" ht="12.95" customHeight="1" x14ac:dyDescent="0.2">
      <c r="A7" s="34" t="s">
        <v>2</v>
      </c>
      <c r="C7" s="56">
        <f>+C4</f>
        <v>45439.423999999999</v>
      </c>
    </row>
    <row r="8" spans="1:6" s="34" customFormat="1" ht="12.95" customHeight="1" x14ac:dyDescent="0.2">
      <c r="A8" s="34" t="s">
        <v>3</v>
      </c>
      <c r="C8" s="56">
        <f>+D4</f>
        <v>2.0224715</v>
      </c>
    </row>
    <row r="9" spans="1:6" s="34" customFormat="1" ht="12.95" customHeight="1" x14ac:dyDescent="0.2">
      <c r="A9" s="40" t="s">
        <v>93</v>
      </c>
      <c r="B9" s="42">
        <v>134</v>
      </c>
      <c r="C9" s="43" t="str">
        <f>"F"&amp;B9</f>
        <v>F134</v>
      </c>
      <c r="D9" s="40" t="str">
        <f>"G"&amp;B9</f>
        <v>G134</v>
      </c>
      <c r="E9" s="40" t="str">
        <f>"G"&amp;C9</f>
        <v>GF134</v>
      </c>
    </row>
    <row r="10" spans="1:6" s="34" customFormat="1" ht="12.95" customHeight="1" thickBot="1" x14ac:dyDescent="0.25">
      <c r="C10" s="44" t="s">
        <v>18</v>
      </c>
      <c r="D10" s="45" t="s">
        <v>19</v>
      </c>
    </row>
    <row r="11" spans="1:6" s="34" customFormat="1" ht="12.95" customHeight="1" x14ac:dyDescent="0.2">
      <c r="A11" s="34" t="s">
        <v>14</v>
      </c>
      <c r="C11" s="46">
        <f ca="1">INTERCEPT(INDIRECT(D9):G1001,INDIRECT(C9):$F1001)</f>
        <v>-7.6017515423870072E-2</v>
      </c>
      <c r="D11" s="47">
        <f>+E11*F11</f>
        <v>2.5361487976003458E-3</v>
      </c>
      <c r="E11" s="48">
        <v>253.61487976003457</v>
      </c>
      <c r="F11" s="34">
        <v>1.0000000000000001E-5</v>
      </c>
    </row>
    <row r="12" spans="1:6" s="34" customFormat="1" ht="12.95" customHeight="1" x14ac:dyDescent="0.2">
      <c r="A12" s="34" t="s">
        <v>15</v>
      </c>
      <c r="C12" s="46">
        <f ca="1">SLOPE(INDIRECT(D9):G1001,INDIRECT(C9):$F1001)</f>
        <v>1.7340656220035203E-5</v>
      </c>
      <c r="D12" s="47">
        <f>+E12*F12</f>
        <v>7.115789626111755E-6</v>
      </c>
      <c r="E12" s="49">
        <v>71.157896261117557</v>
      </c>
      <c r="F12" s="34">
        <v>9.9999999999999995E-8</v>
      </c>
    </row>
    <row r="13" spans="1:6" s="34" customFormat="1" ht="12.95" customHeight="1" thickBot="1" x14ac:dyDescent="0.25">
      <c r="A13" s="34" t="s">
        <v>17</v>
      </c>
      <c r="C13" s="36" t="s">
        <v>12</v>
      </c>
      <c r="D13" s="47">
        <f>+E13*F13</f>
        <v>-3.2506949975167864E-9</v>
      </c>
      <c r="E13" s="50">
        <v>-0.32506949975167865</v>
      </c>
      <c r="F13" s="34">
        <v>1E-8</v>
      </c>
    </row>
    <row r="14" spans="1:6" s="34" customFormat="1" ht="12.95" customHeight="1" x14ac:dyDescent="0.2">
      <c r="A14" s="34" t="s">
        <v>22</v>
      </c>
      <c r="C14" s="36"/>
      <c r="E14" s="34">
        <f>SUM(S21:S103)</f>
        <v>7.6476656021655501E-2</v>
      </c>
    </row>
    <row r="15" spans="1:6" s="34" customFormat="1" ht="12.95" customHeight="1" x14ac:dyDescent="0.2">
      <c r="A15" s="51" t="s">
        <v>16</v>
      </c>
      <c r="C15" s="52">
        <f ca="1">(C7+C11)+(C8+C12)*INT(MAX(F21:F3529))</f>
        <v>57752.260044399642</v>
      </c>
      <c r="D15" s="53">
        <f>+C7+INT(MAX(F21:F1584))*C8+D11+D12*INT(MAX(F21:F4019))+D13*INT(MAX(F21:F4046)^2)</f>
        <v>57752.155866148838</v>
      </c>
      <c r="E15" s="54" t="s">
        <v>103</v>
      </c>
      <c r="F15" s="42">
        <v>1</v>
      </c>
    </row>
    <row r="16" spans="1:6" s="34" customFormat="1" ht="12.95" customHeight="1" x14ac:dyDescent="0.2">
      <c r="A16" s="37" t="s">
        <v>4</v>
      </c>
      <c r="C16" s="55">
        <f ca="1">+C8+C12</f>
        <v>2.0224888406562198</v>
      </c>
      <c r="D16" s="53">
        <f>+C8+D12+2*D13*F89</f>
        <v>2.0224777966144867</v>
      </c>
      <c r="E16" s="54" t="s">
        <v>104</v>
      </c>
      <c r="F16" s="6">
        <f ca="1">NOW()+15018.5+$C$5/24</f>
        <v>60358.835159953698</v>
      </c>
    </row>
    <row r="17" spans="1:22" s="34" customFormat="1" ht="12.95" customHeight="1" thickBot="1" x14ac:dyDescent="0.25">
      <c r="A17" s="54" t="s">
        <v>89</v>
      </c>
      <c r="C17" s="56">
        <f>COUNT(C21:C2187)</f>
        <v>128</v>
      </c>
      <c r="E17" s="54" t="s">
        <v>105</v>
      </c>
      <c r="F17" s="6">
        <f ca="1">ROUND(2*(F16-$C$7)/$C$8,0)/2+F15</f>
        <v>7378</v>
      </c>
    </row>
    <row r="18" spans="1:22" s="34" customFormat="1" ht="12.95" customHeight="1" thickTop="1" thickBot="1" x14ac:dyDescent="0.25">
      <c r="A18" s="37" t="s">
        <v>108</v>
      </c>
      <c r="C18" s="57">
        <f ca="1">+C15</f>
        <v>57752.260044399642</v>
      </c>
      <c r="D18" s="58">
        <f ca="1">C16</f>
        <v>2.0224888406562198</v>
      </c>
      <c r="E18" s="54" t="s">
        <v>106</v>
      </c>
      <c r="F18" s="53">
        <f ca="1">ROUND(2*(F16-$C$15)/$C$16,0)/2+F15</f>
        <v>1290</v>
      </c>
    </row>
    <row r="19" spans="1:22" s="34" customFormat="1" ht="12.95" customHeight="1" thickBot="1" x14ac:dyDescent="0.25">
      <c r="A19" s="37" t="s">
        <v>109</v>
      </c>
      <c r="C19" s="59">
        <f>+D15</f>
        <v>57752.155866148838</v>
      </c>
      <c r="D19" s="60">
        <f>+D16</f>
        <v>2.0224777966144867</v>
      </c>
      <c r="E19" s="54" t="s">
        <v>107</v>
      </c>
      <c r="F19" s="61">
        <f ca="1">+$C$15+$C$16*F18-15018.5-$C$5/24</f>
        <v>45343.166482179498</v>
      </c>
    </row>
    <row r="20" spans="1:22" s="34" customFormat="1" ht="12.95" customHeight="1" thickBot="1" x14ac:dyDescent="0.25">
      <c r="A20" s="45" t="s">
        <v>5</v>
      </c>
      <c r="B20" s="45" t="s">
        <v>6</v>
      </c>
      <c r="C20" s="44" t="s">
        <v>7</v>
      </c>
      <c r="D20" s="45" t="s">
        <v>11</v>
      </c>
      <c r="E20" s="45" t="s">
        <v>8</v>
      </c>
      <c r="F20" s="45" t="s">
        <v>9</v>
      </c>
      <c r="G20" s="45" t="s">
        <v>10</v>
      </c>
      <c r="H20" s="62" t="s">
        <v>124</v>
      </c>
      <c r="I20" s="62" t="s">
        <v>97</v>
      </c>
      <c r="J20" s="62" t="s">
        <v>121</v>
      </c>
      <c r="K20" s="62" t="s">
        <v>119</v>
      </c>
      <c r="L20" s="62" t="s">
        <v>24</v>
      </c>
      <c r="M20" s="62" t="s">
        <v>25</v>
      </c>
      <c r="N20" s="62" t="s">
        <v>26</v>
      </c>
      <c r="O20" s="62" t="s">
        <v>21</v>
      </c>
      <c r="P20" s="63" t="s">
        <v>20</v>
      </c>
      <c r="Q20" s="45" t="s">
        <v>13</v>
      </c>
      <c r="R20" s="64"/>
      <c r="U20" s="3"/>
      <c r="V20" s="65" t="s">
        <v>98</v>
      </c>
    </row>
    <row r="21" spans="1:22" s="3" customFormat="1" ht="12.95" customHeight="1" x14ac:dyDescent="0.2">
      <c r="A21" s="31" t="s">
        <v>133</v>
      </c>
      <c r="B21" s="32" t="s">
        <v>92</v>
      </c>
      <c r="C21" s="33">
        <v>27483.452000000001</v>
      </c>
      <c r="D21" s="9"/>
      <c r="E21" s="9">
        <f t="shared" ref="E21:E52" si="0">+(C21-C$7)/C$8</f>
        <v>-8878.2324003082358</v>
      </c>
      <c r="F21" s="3">
        <f t="shared" ref="F21:F52" si="1">ROUND(2*E21,0)/2</f>
        <v>-8878</v>
      </c>
      <c r="G21" s="3">
        <f t="shared" ref="G21:G52" si="2">+C21-(C$7+F21*C$8)</f>
        <v>-0.47002299999803654</v>
      </c>
      <c r="H21" s="3">
        <f t="shared" ref="H21:H38" si="3">G21</f>
        <v>-0.47002299999803654</v>
      </c>
      <c r="I21" s="4"/>
      <c r="J21" s="4"/>
      <c r="P21" s="3">
        <f t="shared" ref="P21:P52" si="4">+D$11+D$12*F21+D$13*F21^2</f>
        <v>-0.3168539834316757</v>
      </c>
      <c r="Q21" s="5">
        <f t="shared" ref="Q21:Q52" si="5">+C21-15018.5</f>
        <v>12464.952000000001</v>
      </c>
      <c r="R21" s="5"/>
      <c r="S21" s="3">
        <f t="shared" ref="S21:S52" si="6">+(P21-G21)^2</f>
        <v>2.346074763590612E-2</v>
      </c>
    </row>
    <row r="22" spans="1:22" s="3" customFormat="1" ht="12.95" customHeight="1" x14ac:dyDescent="0.2">
      <c r="A22" s="31" t="s">
        <v>138</v>
      </c>
      <c r="B22" s="32" t="s">
        <v>92</v>
      </c>
      <c r="C22" s="33">
        <v>28636.395</v>
      </c>
      <c r="E22" s="9">
        <f t="shared" si="0"/>
        <v>-8308.1660236003318</v>
      </c>
      <c r="F22" s="3">
        <f t="shared" si="1"/>
        <v>-8308</v>
      </c>
      <c r="G22" s="3">
        <f t="shared" si="2"/>
        <v>-0.33577800000057323</v>
      </c>
      <c r="H22" s="3">
        <f t="shared" si="3"/>
        <v>-0.33577800000057323</v>
      </c>
      <c r="I22" s="4"/>
      <c r="J22" s="4"/>
      <c r="P22" s="3">
        <f t="shared" si="4"/>
        <v>-0.28095411013521759</v>
      </c>
      <c r="Q22" s="5">
        <f t="shared" si="5"/>
        <v>13617.895</v>
      </c>
      <c r="R22" s="5"/>
      <c r="S22" s="3">
        <f t="shared" si="6"/>
        <v>3.0056588999686443E-3</v>
      </c>
    </row>
    <row r="23" spans="1:22" s="3" customFormat="1" ht="12.95" customHeight="1" x14ac:dyDescent="0.2">
      <c r="A23" s="31" t="s">
        <v>138</v>
      </c>
      <c r="B23" s="32" t="s">
        <v>92</v>
      </c>
      <c r="C23" s="33">
        <v>29194.596000000001</v>
      </c>
      <c r="E23" s="9">
        <f t="shared" si="0"/>
        <v>-8032.1665843004448</v>
      </c>
      <c r="F23" s="3">
        <f t="shared" si="1"/>
        <v>-8032</v>
      </c>
      <c r="G23" s="3">
        <f t="shared" si="2"/>
        <v>-0.33691199999520904</v>
      </c>
      <c r="H23" s="3">
        <f t="shared" si="3"/>
        <v>-0.33691199999520904</v>
      </c>
      <c r="I23" s="4"/>
      <c r="J23" s="4"/>
      <c r="P23" s="3">
        <f t="shared" si="4"/>
        <v>-0.26433003787080966</v>
      </c>
      <c r="Q23" s="5">
        <f t="shared" si="5"/>
        <v>14176.096000000001</v>
      </c>
      <c r="R23" s="5"/>
      <c r="S23" s="3">
        <f t="shared" si="6"/>
        <v>5.2681412258277459E-3</v>
      </c>
    </row>
    <row r="24" spans="1:22" s="3" customFormat="1" ht="12.95" customHeight="1" x14ac:dyDescent="0.2">
      <c r="A24" s="31" t="s">
        <v>133</v>
      </c>
      <c r="B24" s="32" t="s">
        <v>92</v>
      </c>
      <c r="C24" s="33">
        <v>30262.573</v>
      </c>
      <c r="E24" s="9">
        <f t="shared" si="0"/>
        <v>-7504.1111827781006</v>
      </c>
      <c r="F24" s="3">
        <f t="shared" si="1"/>
        <v>-7504</v>
      </c>
      <c r="G24" s="3">
        <f t="shared" si="2"/>
        <v>-0.22486399999979767</v>
      </c>
      <c r="H24" s="3">
        <f t="shared" si="3"/>
        <v>-0.22486399999979767</v>
      </c>
      <c r="I24" s="4"/>
      <c r="J24" s="4"/>
      <c r="P24" s="3">
        <f t="shared" si="4"/>
        <v>-0.23390742387803246</v>
      </c>
      <c r="Q24" s="5">
        <f t="shared" si="5"/>
        <v>15244.073</v>
      </c>
      <c r="R24" s="5"/>
      <c r="S24" s="3">
        <f t="shared" si="6"/>
        <v>8.1783515441427089E-5</v>
      </c>
    </row>
    <row r="25" spans="1:22" s="3" customFormat="1" ht="12.95" customHeight="1" x14ac:dyDescent="0.2">
      <c r="A25" s="31" t="s">
        <v>133</v>
      </c>
      <c r="B25" s="32" t="s">
        <v>92</v>
      </c>
      <c r="C25" s="33">
        <v>30428.391</v>
      </c>
      <c r="E25" s="9">
        <f t="shared" si="0"/>
        <v>-7422.1233772639071</v>
      </c>
      <c r="F25" s="3">
        <f t="shared" si="1"/>
        <v>-7422</v>
      </c>
      <c r="G25" s="3">
        <f t="shared" si="2"/>
        <v>-0.24952699999994365</v>
      </c>
      <c r="H25" s="3">
        <f t="shared" si="3"/>
        <v>-0.24952699999994365</v>
      </c>
      <c r="I25" s="4"/>
      <c r="J25" s="4"/>
      <c r="P25" s="3">
        <f t="shared" si="4"/>
        <v>-0.22934529949899057</v>
      </c>
      <c r="Q25" s="5">
        <f t="shared" si="5"/>
        <v>15409.891</v>
      </c>
      <c r="R25" s="5"/>
      <c r="S25" s="3">
        <f t="shared" si="6"/>
        <v>4.0730103511016987E-4</v>
      </c>
    </row>
    <row r="26" spans="1:22" s="3" customFormat="1" ht="12.95" customHeight="1" x14ac:dyDescent="0.2">
      <c r="A26" s="31" t="s">
        <v>133</v>
      </c>
      <c r="B26" s="32" t="s">
        <v>92</v>
      </c>
      <c r="C26" s="33">
        <v>30440.424999999999</v>
      </c>
      <c r="E26" s="9">
        <f t="shared" si="0"/>
        <v>-7416.1732316129055</v>
      </c>
      <c r="F26" s="3">
        <f t="shared" si="1"/>
        <v>-7416</v>
      </c>
      <c r="G26" s="3">
        <f t="shared" si="2"/>
        <v>-0.35035599999901024</v>
      </c>
      <c r="H26" s="3">
        <f t="shared" si="3"/>
        <v>-0.35035599999901024</v>
      </c>
      <c r="I26" s="4"/>
      <c r="J26" s="4"/>
      <c r="P26" s="3">
        <f t="shared" si="4"/>
        <v>-0.22901320188699498</v>
      </c>
      <c r="Q26" s="5">
        <f t="shared" si="5"/>
        <v>15421.924999999999</v>
      </c>
      <c r="R26" s="5"/>
      <c r="S26" s="3">
        <f t="shared" si="6"/>
        <v>1.4724074653653295E-2</v>
      </c>
    </row>
    <row r="27" spans="1:22" s="3" customFormat="1" ht="12.95" customHeight="1" x14ac:dyDescent="0.2">
      <c r="A27" s="31" t="s">
        <v>133</v>
      </c>
      <c r="B27" s="32" t="s">
        <v>92</v>
      </c>
      <c r="C27" s="33">
        <v>30780.314999999999</v>
      </c>
      <c r="E27" s="9">
        <f t="shared" si="0"/>
        <v>-7248.1164753125076</v>
      </c>
      <c r="F27" s="3">
        <f t="shared" si="1"/>
        <v>-7248</v>
      </c>
      <c r="G27" s="3">
        <f t="shared" si="2"/>
        <v>-0.23556800000005751</v>
      </c>
      <c r="H27" s="3">
        <f t="shared" si="3"/>
        <v>-0.23556800000005751</v>
      </c>
      <c r="I27" s="4"/>
      <c r="J27" s="4"/>
      <c r="P27" s="3">
        <f t="shared" si="4"/>
        <v>-0.21980949306728575</v>
      </c>
      <c r="Q27" s="5">
        <f t="shared" si="5"/>
        <v>15761.814999999999</v>
      </c>
      <c r="R27" s="5"/>
      <c r="S27" s="3">
        <f t="shared" si="6"/>
        <v>2.4833054075021544E-4</v>
      </c>
    </row>
    <row r="28" spans="1:22" s="3" customFormat="1" ht="12.95" customHeight="1" x14ac:dyDescent="0.2">
      <c r="A28" s="31" t="s">
        <v>133</v>
      </c>
      <c r="B28" s="32" t="s">
        <v>92</v>
      </c>
      <c r="C28" s="33">
        <v>30784.383999999998</v>
      </c>
      <c r="E28" s="9">
        <f t="shared" si="0"/>
        <v>-7246.1045804600963</v>
      </c>
      <c r="F28" s="3">
        <f t="shared" si="1"/>
        <v>-7246</v>
      </c>
      <c r="G28" s="3">
        <f t="shared" si="2"/>
        <v>-0.21151100000133738</v>
      </c>
      <c r="H28" s="3">
        <f t="shared" si="3"/>
        <v>-0.21151100000133738</v>
      </c>
      <c r="I28" s="4"/>
      <c r="J28" s="4"/>
      <c r="P28" s="3">
        <f t="shared" si="4"/>
        <v>-0.2197010303414455</v>
      </c>
      <c r="Q28" s="5">
        <f t="shared" si="5"/>
        <v>15765.883999999998</v>
      </c>
      <c r="R28" s="5"/>
      <c r="S28" s="3">
        <f t="shared" si="6"/>
        <v>6.7076596971891577E-5</v>
      </c>
    </row>
    <row r="29" spans="1:22" s="3" customFormat="1" ht="12.95" customHeight="1" x14ac:dyDescent="0.2">
      <c r="A29" s="31" t="s">
        <v>133</v>
      </c>
      <c r="B29" s="32" t="s">
        <v>92</v>
      </c>
      <c r="C29" s="33">
        <v>30788.417000000001</v>
      </c>
      <c r="E29" s="9">
        <f t="shared" si="0"/>
        <v>-7244.1104856112916</v>
      </c>
      <c r="F29" s="3">
        <f t="shared" si="1"/>
        <v>-7244</v>
      </c>
      <c r="G29" s="3">
        <f t="shared" si="2"/>
        <v>-0.22345399999903748</v>
      </c>
      <c r="H29" s="3">
        <f t="shared" si="3"/>
        <v>-0.22345399999903748</v>
      </c>
      <c r="I29" s="4"/>
      <c r="J29" s="4"/>
      <c r="P29" s="3">
        <f t="shared" si="4"/>
        <v>-0.21959259362116523</v>
      </c>
      <c r="Q29" s="5">
        <f t="shared" si="5"/>
        <v>15769.917000000001</v>
      </c>
      <c r="R29" s="5"/>
      <c r="S29" s="3">
        <f t="shared" si="6"/>
        <v>1.4910459215072452E-5</v>
      </c>
    </row>
    <row r="30" spans="1:22" s="3" customFormat="1" ht="12.95" customHeight="1" x14ac:dyDescent="0.2">
      <c r="A30" s="31" t="s">
        <v>133</v>
      </c>
      <c r="B30" s="32" t="s">
        <v>92</v>
      </c>
      <c r="C30" s="33">
        <v>30792.43</v>
      </c>
      <c r="E30" s="9">
        <f t="shared" si="0"/>
        <v>-7242.1262796533838</v>
      </c>
      <c r="F30" s="3">
        <f t="shared" si="1"/>
        <v>-7242</v>
      </c>
      <c r="G30" s="3">
        <f t="shared" si="2"/>
        <v>-0.25539700000081211</v>
      </c>
      <c r="H30" s="3">
        <f t="shared" si="3"/>
        <v>-0.25539700000081211</v>
      </c>
      <c r="I30" s="4"/>
      <c r="J30" s="4"/>
      <c r="P30" s="3">
        <f t="shared" si="4"/>
        <v>-0.21948418290644497</v>
      </c>
      <c r="Q30" s="5">
        <f t="shared" si="5"/>
        <v>15773.93</v>
      </c>
      <c r="R30" s="5"/>
      <c r="S30" s="3">
        <f t="shared" si="6"/>
        <v>1.2897304316534686E-3</v>
      </c>
    </row>
    <row r="31" spans="1:22" s="3" customFormat="1" ht="12.95" customHeight="1" x14ac:dyDescent="0.2">
      <c r="A31" s="31" t="s">
        <v>133</v>
      </c>
      <c r="B31" s="32" t="s">
        <v>92</v>
      </c>
      <c r="C31" s="33">
        <v>31144.399000000001</v>
      </c>
      <c r="E31" s="9">
        <f t="shared" si="0"/>
        <v>-7068.0971276974724</v>
      </c>
      <c r="F31" s="3">
        <f t="shared" si="1"/>
        <v>-7068</v>
      </c>
      <c r="G31" s="3">
        <f t="shared" si="2"/>
        <v>-0.19643799999539624</v>
      </c>
      <c r="H31" s="3">
        <f t="shared" si="3"/>
        <v>-0.19643799999539624</v>
      </c>
      <c r="I31" s="4"/>
      <c r="J31" s="4"/>
      <c r="P31" s="3">
        <f t="shared" si="4"/>
        <v>-0.21015200000938455</v>
      </c>
      <c r="Q31" s="5">
        <f t="shared" si="5"/>
        <v>16125.899000000001</v>
      </c>
      <c r="R31" s="5"/>
      <c r="S31" s="3">
        <f t="shared" si="6"/>
        <v>1.8807379638367149E-4</v>
      </c>
    </row>
    <row r="32" spans="1:22" s="3" customFormat="1" ht="12.95" customHeight="1" x14ac:dyDescent="0.2">
      <c r="A32" s="31" t="s">
        <v>133</v>
      </c>
      <c r="B32" s="32" t="s">
        <v>92</v>
      </c>
      <c r="C32" s="33">
        <v>31441.576000000001</v>
      </c>
      <c r="E32" s="9">
        <f t="shared" si="0"/>
        <v>-6921.1595812351361</v>
      </c>
      <c r="F32" s="3">
        <f t="shared" si="1"/>
        <v>-6921</v>
      </c>
      <c r="G32" s="3">
        <f t="shared" si="2"/>
        <v>-0.32274849999885191</v>
      </c>
      <c r="H32" s="3">
        <f t="shared" si="3"/>
        <v>-0.32274849999885191</v>
      </c>
      <c r="I32" s="4"/>
      <c r="J32" s="4"/>
      <c r="P32" s="3">
        <f t="shared" si="4"/>
        <v>-0.2024213050032676</v>
      </c>
      <c r="Q32" s="5">
        <f t="shared" si="5"/>
        <v>16423.076000000001</v>
      </c>
      <c r="R32" s="5"/>
      <c r="S32" s="3">
        <f t="shared" si="6"/>
        <v>1.4478633855505369E-2</v>
      </c>
    </row>
    <row r="33" spans="1:33" s="3" customFormat="1" ht="12.95" customHeight="1" x14ac:dyDescent="0.2">
      <c r="A33" s="31" t="s">
        <v>133</v>
      </c>
      <c r="B33" s="32" t="s">
        <v>92</v>
      </c>
      <c r="C33" s="33">
        <v>32950.464</v>
      </c>
      <c r="E33" s="9">
        <f t="shared" si="0"/>
        <v>-6175.0981410615668</v>
      </c>
      <c r="F33" s="3">
        <f t="shared" si="1"/>
        <v>-6175</v>
      </c>
      <c r="G33" s="3">
        <f t="shared" si="2"/>
        <v>-0.1984874999980093</v>
      </c>
      <c r="H33" s="3">
        <f t="shared" si="3"/>
        <v>-0.1984874999980093</v>
      </c>
      <c r="I33" s="4"/>
      <c r="J33" s="4"/>
      <c r="P33" s="3">
        <f t="shared" si="4"/>
        <v>-0.16535488408332824</v>
      </c>
      <c r="Q33" s="5">
        <f t="shared" si="5"/>
        <v>17931.964</v>
      </c>
      <c r="R33" s="5"/>
      <c r="S33" s="3">
        <f t="shared" si="6"/>
        <v>1.0977702373497764E-3</v>
      </c>
    </row>
    <row r="34" spans="1:33" s="3" customFormat="1" ht="12.95" customHeight="1" x14ac:dyDescent="0.2">
      <c r="A34" s="31" t="s">
        <v>133</v>
      </c>
      <c r="B34" s="32" t="s">
        <v>92</v>
      </c>
      <c r="C34" s="33">
        <v>33027.355000000003</v>
      </c>
      <c r="E34" s="9">
        <f t="shared" si="0"/>
        <v>-6137.0798055745145</v>
      </c>
      <c r="F34" s="3">
        <f t="shared" si="1"/>
        <v>-6137</v>
      </c>
      <c r="G34" s="3">
        <f t="shared" si="2"/>
        <v>-0.16140449999511475</v>
      </c>
      <c r="H34" s="3">
        <f t="shared" si="3"/>
        <v>-0.16140449999511475</v>
      </c>
      <c r="I34" s="4"/>
      <c r="J34" s="4"/>
      <c r="P34" s="3">
        <f t="shared" si="4"/>
        <v>-0.16356362691877779</v>
      </c>
      <c r="Q34" s="5">
        <f t="shared" si="5"/>
        <v>18008.855000000003</v>
      </c>
      <c r="R34" s="5"/>
      <c r="S34" s="3">
        <f t="shared" si="6"/>
        <v>4.6618290724866496E-6</v>
      </c>
    </row>
    <row r="35" spans="1:33" s="3" customFormat="1" ht="12.95" customHeight="1" x14ac:dyDescent="0.2">
      <c r="A35" s="31" t="s">
        <v>133</v>
      </c>
      <c r="B35" s="32" t="s">
        <v>92</v>
      </c>
      <c r="C35" s="33">
        <v>33302.453000000001</v>
      </c>
      <c r="E35" s="9">
        <f t="shared" si="0"/>
        <v>-6001.0591002147612</v>
      </c>
      <c r="F35" s="3">
        <f t="shared" si="1"/>
        <v>-6001</v>
      </c>
      <c r="G35" s="3">
        <f t="shared" si="2"/>
        <v>-0.11952849999943282</v>
      </c>
      <c r="H35" s="3">
        <f t="shared" si="3"/>
        <v>-0.11952849999943282</v>
      </c>
      <c r="I35" s="4"/>
      <c r="J35" s="4"/>
      <c r="P35" s="3">
        <f t="shared" si="4"/>
        <v>-0.15722973624996581</v>
      </c>
      <c r="Q35" s="5">
        <f t="shared" si="5"/>
        <v>18283.953000000001</v>
      </c>
      <c r="R35" s="5"/>
      <c r="S35" s="3">
        <f t="shared" si="6"/>
        <v>1.4213832148185022E-3</v>
      </c>
    </row>
    <row r="36" spans="1:33" s="3" customFormat="1" ht="12.95" customHeight="1" x14ac:dyDescent="0.2">
      <c r="A36" s="31" t="s">
        <v>133</v>
      </c>
      <c r="B36" s="32" t="s">
        <v>92</v>
      </c>
      <c r="C36" s="33">
        <v>33306.466999999997</v>
      </c>
      <c r="E36" s="9">
        <f t="shared" si="0"/>
        <v>-5999.0743998123098</v>
      </c>
      <c r="F36" s="3">
        <f t="shared" si="1"/>
        <v>-5999</v>
      </c>
      <c r="G36" s="3">
        <f t="shared" si="2"/>
        <v>-0.15047150000464171</v>
      </c>
      <c r="H36" s="3">
        <f t="shared" si="3"/>
        <v>-0.15047150000464171</v>
      </c>
      <c r="I36" s="4"/>
      <c r="J36" s="4"/>
      <c r="P36" s="3">
        <f t="shared" si="4"/>
        <v>-0.15713748799077318</v>
      </c>
      <c r="Q36" s="5">
        <f t="shared" si="5"/>
        <v>18287.966999999997</v>
      </c>
      <c r="R36" s="5"/>
      <c r="S36" s="3">
        <f t="shared" si="6"/>
        <v>4.4435395831249042E-5</v>
      </c>
    </row>
    <row r="37" spans="1:33" s="3" customFormat="1" ht="12.95" customHeight="1" x14ac:dyDescent="0.2">
      <c r="A37" s="31" t="s">
        <v>133</v>
      </c>
      <c r="B37" s="32" t="s">
        <v>92</v>
      </c>
      <c r="C37" s="33">
        <v>33947.622000000003</v>
      </c>
      <c r="E37" s="9">
        <f t="shared" si="0"/>
        <v>-5682.0588077508119</v>
      </c>
      <c r="F37" s="3">
        <f t="shared" si="1"/>
        <v>-5682</v>
      </c>
      <c r="G37" s="3">
        <f t="shared" si="2"/>
        <v>-0.1189369999920018</v>
      </c>
      <c r="H37" s="3">
        <f t="shared" si="3"/>
        <v>-0.1189369999920018</v>
      </c>
      <c r="I37" s="4"/>
      <c r="J37" s="4"/>
      <c r="P37" s="3">
        <f t="shared" si="4"/>
        <v>-0.14284485893897578</v>
      </c>
      <c r="Q37" s="5">
        <f t="shared" si="5"/>
        <v>18929.122000000003</v>
      </c>
      <c r="R37" s="5"/>
      <c r="S37" s="3">
        <f t="shared" si="6"/>
        <v>5.7158571942840357E-4</v>
      </c>
    </row>
    <row r="38" spans="1:33" s="3" customFormat="1" ht="12.95" customHeight="1" x14ac:dyDescent="0.2">
      <c r="A38" s="31" t="s">
        <v>133</v>
      </c>
      <c r="B38" s="32" t="s">
        <v>92</v>
      </c>
      <c r="C38" s="33">
        <v>34663.548999999999</v>
      </c>
      <c r="E38" s="9">
        <f t="shared" si="0"/>
        <v>-5328.0726081925013</v>
      </c>
      <c r="F38" s="3">
        <f t="shared" si="1"/>
        <v>-5328</v>
      </c>
      <c r="G38" s="3">
        <f t="shared" si="2"/>
        <v>-0.14684800000395626</v>
      </c>
      <c r="H38" s="3">
        <f t="shared" si="3"/>
        <v>-0.14684800000395626</v>
      </c>
      <c r="I38" s="4"/>
      <c r="J38" s="4"/>
      <c r="P38" s="3">
        <f t="shared" si="4"/>
        <v>-0.12765615563071064</v>
      </c>
      <c r="Q38" s="5">
        <f t="shared" si="5"/>
        <v>19645.048999999999</v>
      </c>
      <c r="R38" s="5"/>
      <c r="S38" s="3">
        <f t="shared" si="6"/>
        <v>3.6832689044687935E-4</v>
      </c>
    </row>
    <row r="39" spans="1:33" s="3" customFormat="1" ht="12.95" customHeight="1" x14ac:dyDescent="0.2">
      <c r="A39" s="3" t="s">
        <v>29</v>
      </c>
      <c r="C39" s="7">
        <v>42452.258999999998</v>
      </c>
      <c r="D39" s="7"/>
      <c r="E39" s="3">
        <f t="shared" si="0"/>
        <v>-1476.9874383891199</v>
      </c>
      <c r="F39" s="3">
        <f t="shared" si="1"/>
        <v>-1477</v>
      </c>
      <c r="G39" s="3">
        <f t="shared" si="2"/>
        <v>2.5405499996850267E-2</v>
      </c>
      <c r="I39" s="3">
        <f t="shared" ref="I39:I75" si="7">G39</f>
        <v>2.5405499996850267E-2</v>
      </c>
      <c r="P39" s="3">
        <f t="shared" si="4"/>
        <v>-1.5065357887404516E-2</v>
      </c>
      <c r="Q39" s="5">
        <f t="shared" si="5"/>
        <v>27433.758999999998</v>
      </c>
      <c r="R39" s="5"/>
      <c r="S39" s="3">
        <f t="shared" si="6"/>
        <v>1.6378903378875473E-3</v>
      </c>
      <c r="AC39" s="3">
        <v>5</v>
      </c>
      <c r="AE39" s="3" t="s">
        <v>28</v>
      </c>
      <c r="AG39" s="3" t="s">
        <v>30</v>
      </c>
    </row>
    <row r="40" spans="1:33" s="3" customFormat="1" ht="12.95" customHeight="1" x14ac:dyDescent="0.2">
      <c r="A40" s="3" t="s">
        <v>29</v>
      </c>
      <c r="C40" s="7">
        <v>42452.262000000002</v>
      </c>
      <c r="D40" s="7"/>
      <c r="E40" s="3">
        <f t="shared" si="0"/>
        <v>-1476.9859550554836</v>
      </c>
      <c r="F40" s="3">
        <f t="shared" si="1"/>
        <v>-1477</v>
      </c>
      <c r="G40" s="3">
        <f t="shared" si="2"/>
        <v>2.8405500001099426E-2</v>
      </c>
      <c r="I40" s="3">
        <f t="shared" si="7"/>
        <v>2.8405500001099426E-2</v>
      </c>
      <c r="P40" s="3">
        <f t="shared" si="4"/>
        <v>-1.5065357887404516E-2</v>
      </c>
      <c r="Q40" s="5">
        <f t="shared" si="5"/>
        <v>27433.762000000002</v>
      </c>
      <c r="R40" s="5"/>
      <c r="S40" s="3">
        <f t="shared" si="6"/>
        <v>1.8897154855625051E-3</v>
      </c>
      <c r="AB40" s="3" t="s">
        <v>31</v>
      </c>
      <c r="AC40" s="3">
        <v>6</v>
      </c>
      <c r="AE40" s="3" t="s">
        <v>32</v>
      </c>
      <c r="AG40" s="3" t="s">
        <v>30</v>
      </c>
    </row>
    <row r="41" spans="1:33" s="3" customFormat="1" ht="12.95" customHeight="1" x14ac:dyDescent="0.2">
      <c r="A41" s="3" t="s">
        <v>29</v>
      </c>
      <c r="C41" s="7">
        <v>42454.249000000003</v>
      </c>
      <c r="D41" s="7"/>
      <c r="E41" s="3">
        <f t="shared" si="0"/>
        <v>-1476.0034937451508</v>
      </c>
      <c r="F41" s="3">
        <f t="shared" si="1"/>
        <v>-1476</v>
      </c>
      <c r="G41" s="3">
        <f t="shared" si="2"/>
        <v>-7.0659999983035959E-3</v>
      </c>
      <c r="I41" s="3">
        <f t="shared" si="7"/>
        <v>-7.0659999983035959E-3</v>
      </c>
      <c r="P41" s="3">
        <f t="shared" si="4"/>
        <v>-1.5048642795450737E-2</v>
      </c>
      <c r="Q41" s="5">
        <f t="shared" si="5"/>
        <v>27435.749000000003</v>
      </c>
      <c r="R41" s="5"/>
      <c r="S41" s="3">
        <f t="shared" si="6"/>
        <v>6.3722586026845144E-5</v>
      </c>
      <c r="AB41" s="3" t="s">
        <v>31</v>
      </c>
      <c r="AC41" s="3">
        <v>7</v>
      </c>
      <c r="AE41" s="3" t="s">
        <v>28</v>
      </c>
      <c r="AG41" s="3" t="s">
        <v>30</v>
      </c>
    </row>
    <row r="42" spans="1:33" s="3" customFormat="1" ht="12.95" customHeight="1" x14ac:dyDescent="0.2">
      <c r="A42" s="3" t="s">
        <v>29</v>
      </c>
      <c r="C42" s="7">
        <v>42458.279000000002</v>
      </c>
      <c r="D42" s="7"/>
      <c r="E42" s="3">
        <f t="shared" si="0"/>
        <v>-1474.0108822299828</v>
      </c>
      <c r="F42" s="3">
        <f t="shared" si="1"/>
        <v>-1474</v>
      </c>
      <c r="G42" s="3">
        <f t="shared" si="2"/>
        <v>-2.2009000000252854E-2</v>
      </c>
      <c r="I42" s="3">
        <f t="shared" si="7"/>
        <v>-2.2009000000252854E-2</v>
      </c>
      <c r="P42" s="3">
        <f t="shared" si="4"/>
        <v>-1.5015232115713163E-2</v>
      </c>
      <c r="Q42" s="5">
        <f t="shared" si="5"/>
        <v>27439.779000000002</v>
      </c>
      <c r="R42" s="5"/>
      <c r="S42" s="3">
        <f t="shared" si="6"/>
        <v>4.8912789222818787E-5</v>
      </c>
      <c r="AB42" s="3" t="s">
        <v>31</v>
      </c>
      <c r="AC42" s="3">
        <v>7</v>
      </c>
      <c r="AE42" s="3" t="s">
        <v>28</v>
      </c>
      <c r="AG42" s="3" t="s">
        <v>30</v>
      </c>
    </row>
    <row r="43" spans="1:33" s="3" customFormat="1" ht="12.95" customHeight="1" x14ac:dyDescent="0.2">
      <c r="A43" s="3" t="s">
        <v>29</v>
      </c>
      <c r="C43" s="7">
        <v>42464.345000000001</v>
      </c>
      <c r="D43" s="7"/>
      <c r="E43" s="3">
        <f t="shared" si="0"/>
        <v>-1471.0115816217919</v>
      </c>
      <c r="F43" s="3">
        <f t="shared" si="1"/>
        <v>-1471</v>
      </c>
      <c r="G43" s="3">
        <f t="shared" si="2"/>
        <v>-2.3423499995260499E-2</v>
      </c>
      <c r="I43" s="3">
        <f t="shared" si="7"/>
        <v>-2.3423499995260499E-2</v>
      </c>
      <c r="P43" s="3">
        <f t="shared" si="4"/>
        <v>-1.4965164856531767E-2</v>
      </c>
      <c r="Q43" s="5">
        <f t="shared" si="5"/>
        <v>27445.845000000001</v>
      </c>
      <c r="R43" s="5"/>
      <c r="S43" s="3">
        <f t="shared" si="6"/>
        <v>7.1543433319053208E-5</v>
      </c>
      <c r="AB43" s="3" t="s">
        <v>31</v>
      </c>
      <c r="AC43" s="3">
        <v>8</v>
      </c>
      <c r="AE43" s="3" t="s">
        <v>32</v>
      </c>
      <c r="AG43" s="3" t="s">
        <v>30</v>
      </c>
    </row>
    <row r="44" spans="1:33" s="3" customFormat="1" ht="12.95" customHeight="1" x14ac:dyDescent="0.2">
      <c r="A44" s="3" t="s">
        <v>29</v>
      </c>
      <c r="C44" s="7">
        <v>42464.35</v>
      </c>
      <c r="D44" s="7"/>
      <c r="E44" s="3">
        <f t="shared" si="0"/>
        <v>-1471.0091093990698</v>
      </c>
      <c r="F44" s="3">
        <f t="shared" si="1"/>
        <v>-1471</v>
      </c>
      <c r="G44" s="3">
        <f t="shared" si="2"/>
        <v>-1.8423499997879844E-2</v>
      </c>
      <c r="I44" s="3">
        <f t="shared" si="7"/>
        <v>-1.8423499997879844E-2</v>
      </c>
      <c r="P44" s="3">
        <f t="shared" si="4"/>
        <v>-1.4965164856531767E-2</v>
      </c>
      <c r="Q44" s="5">
        <f t="shared" si="5"/>
        <v>27445.85</v>
      </c>
      <c r="R44" s="5"/>
      <c r="S44" s="3">
        <f t="shared" si="6"/>
        <v>1.1960081949883026E-5</v>
      </c>
      <c r="AB44" s="3" t="s">
        <v>31</v>
      </c>
      <c r="AC44" s="3">
        <v>6</v>
      </c>
      <c r="AE44" s="3" t="s">
        <v>28</v>
      </c>
      <c r="AG44" s="3" t="s">
        <v>30</v>
      </c>
    </row>
    <row r="45" spans="1:33" s="3" customFormat="1" ht="12.95" customHeight="1" x14ac:dyDescent="0.2">
      <c r="A45" s="3" t="s">
        <v>29</v>
      </c>
      <c r="C45" s="7">
        <v>42470.400000000001</v>
      </c>
      <c r="D45" s="7"/>
      <c r="E45" s="3">
        <f t="shared" si="0"/>
        <v>-1468.017719903592</v>
      </c>
      <c r="F45" s="3">
        <f t="shared" si="1"/>
        <v>-1468</v>
      </c>
      <c r="G45" s="3">
        <f t="shared" si="2"/>
        <v>-3.5837999996147119E-2</v>
      </c>
      <c r="I45" s="3">
        <f t="shared" si="7"/>
        <v>-3.5837999996147119E-2</v>
      </c>
      <c r="P45" s="3">
        <f t="shared" si="4"/>
        <v>-1.4915156109860325E-2</v>
      </c>
      <c r="Q45" s="5">
        <f t="shared" si="5"/>
        <v>27451.9</v>
      </c>
      <c r="R45" s="5"/>
      <c r="S45" s="3">
        <f t="shared" si="6"/>
        <v>4.3776539628992867E-4</v>
      </c>
      <c r="AB45" s="3" t="s">
        <v>31</v>
      </c>
      <c r="AC45" s="3">
        <v>6</v>
      </c>
      <c r="AE45" s="3" t="s">
        <v>28</v>
      </c>
      <c r="AG45" s="3" t="s">
        <v>30</v>
      </c>
    </row>
    <row r="46" spans="1:33" s="3" customFormat="1" ht="12.95" customHeight="1" x14ac:dyDescent="0.2">
      <c r="A46" s="3" t="s">
        <v>33</v>
      </c>
      <c r="C46" s="7">
        <v>42561.423999999999</v>
      </c>
      <c r="D46" s="7"/>
      <c r="E46" s="3">
        <f t="shared" si="0"/>
        <v>-1423.0113996662005</v>
      </c>
      <c r="F46" s="3">
        <f t="shared" si="1"/>
        <v>-1423</v>
      </c>
      <c r="G46" s="3">
        <f t="shared" si="2"/>
        <v>-2.3055500001646578E-2</v>
      </c>
      <c r="I46" s="3">
        <f t="shared" si="7"/>
        <v>-2.3055500001646578E-2</v>
      </c>
      <c r="P46" s="3">
        <f t="shared" si="4"/>
        <v>-1.4172046410983352E-2</v>
      </c>
      <c r="Q46" s="5">
        <f t="shared" si="5"/>
        <v>27542.923999999999</v>
      </c>
      <c r="R46" s="5"/>
      <c r="S46" s="3">
        <f t="shared" si="6"/>
        <v>7.8915747697467362E-5</v>
      </c>
      <c r="AB46" s="3" t="s">
        <v>31</v>
      </c>
      <c r="AC46" s="3">
        <v>11</v>
      </c>
      <c r="AE46" s="3" t="s">
        <v>28</v>
      </c>
      <c r="AG46" s="3" t="s">
        <v>30</v>
      </c>
    </row>
    <row r="47" spans="1:33" s="3" customFormat="1" ht="12.95" customHeight="1" x14ac:dyDescent="0.2">
      <c r="A47" s="3" t="s">
        <v>34</v>
      </c>
      <c r="C47" s="7">
        <v>42652.444000000003</v>
      </c>
      <c r="D47" s="7"/>
      <c r="E47" s="3">
        <f t="shared" si="0"/>
        <v>-1378.0070572069847</v>
      </c>
      <c r="F47" s="3">
        <f t="shared" si="1"/>
        <v>-1378</v>
      </c>
      <c r="G47" s="3">
        <f t="shared" si="2"/>
        <v>-1.427299999340903E-2</v>
      </c>
      <c r="I47" s="3">
        <f t="shared" si="7"/>
        <v>-1.427299999340903E-2</v>
      </c>
      <c r="P47" s="3">
        <f t="shared" si="4"/>
        <v>-1.3442102026846318E-2</v>
      </c>
      <c r="Q47" s="5">
        <f t="shared" si="5"/>
        <v>27633.944000000003</v>
      </c>
      <c r="R47" s="5"/>
      <c r="S47" s="3">
        <f t="shared" si="6"/>
        <v>6.903914308380503E-7</v>
      </c>
      <c r="AB47" s="3" t="s">
        <v>31</v>
      </c>
      <c r="AC47" s="3">
        <v>7</v>
      </c>
      <c r="AE47" s="3" t="s">
        <v>28</v>
      </c>
      <c r="AG47" s="3" t="s">
        <v>30</v>
      </c>
    </row>
    <row r="48" spans="1:33" s="3" customFormat="1" ht="12.95" customHeight="1" x14ac:dyDescent="0.2">
      <c r="A48" s="3" t="s">
        <v>35</v>
      </c>
      <c r="C48" s="7">
        <v>42664.572999999997</v>
      </c>
      <c r="D48" s="7"/>
      <c r="E48" s="3">
        <f t="shared" si="0"/>
        <v>-1372.009939324239</v>
      </c>
      <c r="F48" s="3">
        <f t="shared" si="1"/>
        <v>-1372</v>
      </c>
      <c r="G48" s="3">
        <f t="shared" si="2"/>
        <v>-2.0102000002225395E-2</v>
      </c>
      <c r="I48" s="3">
        <f t="shared" si="7"/>
        <v>-2.0102000002225395E-2</v>
      </c>
      <c r="P48" s="3">
        <f t="shared" si="4"/>
        <v>-1.3345770821630621E-2</v>
      </c>
      <c r="Q48" s="5">
        <f t="shared" si="5"/>
        <v>27646.072999999997</v>
      </c>
      <c r="R48" s="5"/>
      <c r="S48" s="3">
        <f t="shared" si="6"/>
        <v>4.5646632740720336E-5</v>
      </c>
      <c r="AB48" s="3" t="s">
        <v>31</v>
      </c>
      <c r="AC48" s="3">
        <v>6</v>
      </c>
      <c r="AE48" s="3" t="s">
        <v>28</v>
      </c>
      <c r="AG48" s="3" t="s">
        <v>30</v>
      </c>
    </row>
    <row r="49" spans="1:33" s="3" customFormat="1" ht="12.95" customHeight="1" x14ac:dyDescent="0.2">
      <c r="A49" s="3" t="s">
        <v>35</v>
      </c>
      <c r="C49" s="7">
        <v>42729.279999999999</v>
      </c>
      <c r="D49" s="7"/>
      <c r="E49" s="3">
        <f t="shared" si="0"/>
        <v>-1340.0159161698944</v>
      </c>
      <c r="F49" s="3">
        <f t="shared" si="1"/>
        <v>-1340</v>
      </c>
      <c r="G49" s="3">
        <f t="shared" si="2"/>
        <v>-3.2189999998081475E-2</v>
      </c>
      <c r="I49" s="3">
        <f t="shared" si="7"/>
        <v>-3.2189999998081475E-2</v>
      </c>
      <c r="P49" s="3">
        <f t="shared" si="4"/>
        <v>-1.2835957238930547E-2</v>
      </c>
      <c r="Q49" s="5">
        <f t="shared" si="5"/>
        <v>27710.78</v>
      </c>
      <c r="R49" s="5"/>
      <c r="S49" s="3">
        <f t="shared" si="6"/>
        <v>3.7457897112304247E-4</v>
      </c>
      <c r="AB49" s="3" t="s">
        <v>31</v>
      </c>
      <c r="AC49" s="3">
        <v>6</v>
      </c>
      <c r="AE49" s="3" t="s">
        <v>28</v>
      </c>
      <c r="AG49" s="3" t="s">
        <v>30</v>
      </c>
    </row>
    <row r="50" spans="1:33" s="3" customFormat="1" ht="12.95" customHeight="1" x14ac:dyDescent="0.2">
      <c r="A50" s="3" t="s">
        <v>35</v>
      </c>
      <c r="C50" s="7">
        <v>42741.421999999999</v>
      </c>
      <c r="D50" s="7"/>
      <c r="E50" s="3">
        <f t="shared" si="0"/>
        <v>-1334.0123705080641</v>
      </c>
      <c r="F50" s="3">
        <f t="shared" si="1"/>
        <v>-1334</v>
      </c>
      <c r="G50" s="3">
        <f t="shared" si="2"/>
        <v>-2.5019000000611413E-2</v>
      </c>
      <c r="I50" s="3">
        <f t="shared" si="7"/>
        <v>-2.5019000000611413E-2</v>
      </c>
      <c r="P50" s="3">
        <f t="shared" si="4"/>
        <v>-1.2741108350633717E-2</v>
      </c>
      <c r="Q50" s="5">
        <f t="shared" si="5"/>
        <v>27722.921999999999</v>
      </c>
      <c r="R50" s="5"/>
      <c r="S50" s="3">
        <f t="shared" si="6"/>
        <v>1.5074662336859201E-4</v>
      </c>
      <c r="AB50" s="3" t="s">
        <v>31</v>
      </c>
      <c r="AC50" s="3">
        <v>6</v>
      </c>
      <c r="AE50" s="3" t="s">
        <v>28</v>
      </c>
      <c r="AG50" s="3" t="s">
        <v>30</v>
      </c>
    </row>
    <row r="51" spans="1:33" s="3" customFormat="1" ht="12.95" customHeight="1" x14ac:dyDescent="0.2">
      <c r="A51" s="3" t="s">
        <v>37</v>
      </c>
      <c r="C51" s="7">
        <v>42832.444000000003</v>
      </c>
      <c r="D51" s="7"/>
      <c r="E51" s="3">
        <f t="shared" si="0"/>
        <v>-1289.0070391597587</v>
      </c>
      <c r="F51" s="3">
        <f t="shared" si="1"/>
        <v>-1289</v>
      </c>
      <c r="G51" s="3">
        <f t="shared" si="2"/>
        <v>-1.4236499999242369E-2</v>
      </c>
      <c r="I51" s="3">
        <f t="shared" si="7"/>
        <v>-1.4236499999242369E-2</v>
      </c>
      <c r="P51" s="3">
        <f t="shared" si="4"/>
        <v>-1.2037202033426795E-2</v>
      </c>
      <c r="Q51" s="5">
        <f t="shared" si="5"/>
        <v>27813.944000000003</v>
      </c>
      <c r="R51" s="5"/>
      <c r="S51" s="3">
        <f t="shared" si="6"/>
        <v>4.836911542440524E-6</v>
      </c>
      <c r="AB51" s="3" t="s">
        <v>31</v>
      </c>
      <c r="AC51" s="3">
        <v>10</v>
      </c>
      <c r="AE51" s="3" t="s">
        <v>36</v>
      </c>
      <c r="AG51" s="3" t="s">
        <v>30</v>
      </c>
    </row>
    <row r="52" spans="1:33" s="3" customFormat="1" ht="12.95" customHeight="1" x14ac:dyDescent="0.2">
      <c r="A52" s="3" t="s">
        <v>38</v>
      </c>
      <c r="C52" s="7">
        <v>43028.610999999997</v>
      </c>
      <c r="D52" s="7"/>
      <c r="E52" s="3">
        <f t="shared" si="0"/>
        <v>-1192.0133361582607</v>
      </c>
      <c r="F52" s="3">
        <f t="shared" si="1"/>
        <v>-1192</v>
      </c>
      <c r="G52" s="3">
        <f t="shared" si="2"/>
        <v>-2.6971999999659602E-2</v>
      </c>
      <c r="I52" s="3">
        <f t="shared" si="7"/>
        <v>-2.6971999999659602E-2</v>
      </c>
      <c r="P52" s="3">
        <f t="shared" si="4"/>
        <v>-1.0564667933676556E-2</v>
      </c>
      <c r="Q52" s="5">
        <f t="shared" si="5"/>
        <v>28010.110999999997</v>
      </c>
      <c r="R52" s="5"/>
      <c r="S52" s="3">
        <f t="shared" si="6"/>
        <v>2.6920054552343549E-4</v>
      </c>
      <c r="AC52" s="3">
        <v>6</v>
      </c>
      <c r="AE52" s="3" t="s">
        <v>28</v>
      </c>
      <c r="AG52" s="3" t="s">
        <v>30</v>
      </c>
    </row>
    <row r="53" spans="1:33" s="3" customFormat="1" ht="12.95" customHeight="1" x14ac:dyDescent="0.2">
      <c r="A53" s="3" t="s">
        <v>39</v>
      </c>
      <c r="C53" s="7">
        <v>43188.411999999997</v>
      </c>
      <c r="D53" s="7"/>
      <c r="E53" s="3">
        <f t="shared" ref="E53:E84" si="8">+(C53-C$7)/C$8</f>
        <v>-1113.000603469568</v>
      </c>
      <c r="F53" s="3">
        <f t="shared" ref="F53:F84" si="9">ROUND(2*E53,0)/2</f>
        <v>-1113</v>
      </c>
      <c r="G53" s="3">
        <f t="shared" ref="G53:G75" si="10">+C53-(C$7+F53*C$8)</f>
        <v>-1.2205000020912848E-3</v>
      </c>
      <c r="I53" s="3">
        <f t="shared" si="7"/>
        <v>-1.2205000020912848E-3</v>
      </c>
      <c r="P53" s="3">
        <f t="shared" ref="P53:P84" si="11">+D$11+D$12*F53+D$13*F53^2</f>
        <v>-9.4105852476409103E-3</v>
      </c>
      <c r="Q53" s="5">
        <f t="shared" ref="Q53:Q84" si="12">+C53-15018.5</f>
        <v>28169.911999999997</v>
      </c>
      <c r="R53" s="5"/>
      <c r="S53" s="3">
        <f t="shared" ref="S53:S84" si="13">+(P53-G53)^2</f>
        <v>6.7077496329369675E-5</v>
      </c>
      <c r="AB53" s="3" t="s">
        <v>31</v>
      </c>
      <c r="AC53" s="3">
        <v>6</v>
      </c>
      <c r="AE53" s="3" t="s">
        <v>32</v>
      </c>
      <c r="AG53" s="3" t="s">
        <v>30</v>
      </c>
    </row>
    <row r="54" spans="1:33" s="3" customFormat="1" ht="12.95" customHeight="1" x14ac:dyDescent="0.2">
      <c r="A54" s="3" t="s">
        <v>39</v>
      </c>
      <c r="C54" s="7">
        <v>43188.415999999997</v>
      </c>
      <c r="D54" s="7"/>
      <c r="E54" s="3">
        <f t="shared" si="8"/>
        <v>-1112.9986256913887</v>
      </c>
      <c r="F54" s="3">
        <f t="shared" si="9"/>
        <v>-1113</v>
      </c>
      <c r="G54" s="3">
        <f t="shared" si="10"/>
        <v>2.7794999987236224E-3</v>
      </c>
      <c r="I54" s="3">
        <f t="shared" si="7"/>
        <v>2.7794999987236224E-3</v>
      </c>
      <c r="P54" s="3">
        <f t="shared" si="11"/>
        <v>-9.4105852476409103E-3</v>
      </c>
      <c r="Q54" s="5">
        <f t="shared" si="12"/>
        <v>28169.915999999997</v>
      </c>
      <c r="R54" s="5"/>
      <c r="S54" s="3">
        <f t="shared" si="13"/>
        <v>1.4859817831363426E-4</v>
      </c>
      <c r="AB54" s="3" t="s">
        <v>31</v>
      </c>
      <c r="AC54" s="3">
        <v>10</v>
      </c>
      <c r="AE54" s="3" t="s">
        <v>36</v>
      </c>
      <c r="AG54" s="3" t="s">
        <v>30</v>
      </c>
    </row>
    <row r="55" spans="1:33" s="3" customFormat="1" ht="12.95" customHeight="1" x14ac:dyDescent="0.2">
      <c r="A55" s="3" t="s">
        <v>41</v>
      </c>
      <c r="C55" s="7">
        <v>43273.337</v>
      </c>
      <c r="D55" s="7"/>
      <c r="E55" s="3">
        <f t="shared" si="8"/>
        <v>-1071.0099005103407</v>
      </c>
      <c r="F55" s="3">
        <f t="shared" si="9"/>
        <v>-1071</v>
      </c>
      <c r="G55" s="3">
        <f t="shared" si="10"/>
        <v>-2.002350000111619E-2</v>
      </c>
      <c r="I55" s="3">
        <f t="shared" si="7"/>
        <v>-2.002350000111619E-2</v>
      </c>
      <c r="P55" s="3">
        <f t="shared" si="11"/>
        <v>-8.8135423326119958E-3</v>
      </c>
      <c r="Q55" s="5">
        <f t="shared" si="12"/>
        <v>28254.837</v>
      </c>
      <c r="R55" s="5"/>
      <c r="S55" s="3">
        <f t="shared" si="13"/>
        <v>1.2566315092965599E-4</v>
      </c>
      <c r="AB55" s="3" t="s">
        <v>31</v>
      </c>
      <c r="AC55" s="3">
        <v>10</v>
      </c>
      <c r="AE55" s="3" t="s">
        <v>40</v>
      </c>
      <c r="AG55" s="3" t="s">
        <v>30</v>
      </c>
    </row>
    <row r="56" spans="1:33" s="3" customFormat="1" ht="12.95" customHeight="1" x14ac:dyDescent="0.2">
      <c r="A56" s="3" t="s">
        <v>42</v>
      </c>
      <c r="C56" s="7">
        <v>43534.239999999998</v>
      </c>
      <c r="D56" s="7"/>
      <c r="E56" s="3">
        <f t="shared" si="8"/>
        <v>-942.00783546270054</v>
      </c>
      <c r="F56" s="3">
        <f t="shared" si="9"/>
        <v>-942</v>
      </c>
      <c r="G56" s="3">
        <f t="shared" si="10"/>
        <v>-1.5847000002395362E-2</v>
      </c>
      <c r="I56" s="3">
        <f t="shared" si="7"/>
        <v>-1.5847000002395362E-2</v>
      </c>
      <c r="P56" s="3">
        <f t="shared" si="11"/>
        <v>-7.0514747459734118E-3</v>
      </c>
      <c r="Q56" s="5">
        <f t="shared" si="12"/>
        <v>28515.739999999998</v>
      </c>
      <c r="R56" s="5"/>
      <c r="S56" s="3">
        <f t="shared" si="13"/>
        <v>7.7361264536356409E-5</v>
      </c>
      <c r="AB56" s="3" t="s">
        <v>31</v>
      </c>
      <c r="AC56" s="3">
        <v>6</v>
      </c>
      <c r="AE56" s="3" t="s">
        <v>28</v>
      </c>
      <c r="AG56" s="3" t="s">
        <v>30</v>
      </c>
    </row>
    <row r="57" spans="1:33" s="3" customFormat="1" ht="12.95" customHeight="1" x14ac:dyDescent="0.2">
      <c r="A57" s="3" t="s">
        <v>42</v>
      </c>
      <c r="C57" s="7">
        <v>43536.275000000001</v>
      </c>
      <c r="D57" s="7"/>
      <c r="E57" s="3">
        <f t="shared" si="8"/>
        <v>-941.00164081422042</v>
      </c>
      <c r="F57" s="3">
        <f t="shared" si="9"/>
        <v>-941</v>
      </c>
      <c r="G57" s="3">
        <f t="shared" si="10"/>
        <v>-3.3184999992954545E-3</v>
      </c>
      <c r="I57" s="3">
        <f t="shared" si="7"/>
        <v>-3.3184999992954545E-3</v>
      </c>
      <c r="P57" s="3">
        <f t="shared" si="11"/>
        <v>-7.0382378976669765E-3</v>
      </c>
      <c r="Q57" s="5">
        <f t="shared" si="12"/>
        <v>28517.775000000001</v>
      </c>
      <c r="R57" s="5"/>
      <c r="S57" s="3">
        <f t="shared" si="13"/>
        <v>1.3836450032581387E-5</v>
      </c>
      <c r="AB57" s="3" t="s">
        <v>31</v>
      </c>
      <c r="AC57" s="3">
        <v>10</v>
      </c>
      <c r="AE57" s="3" t="s">
        <v>40</v>
      </c>
      <c r="AG57" s="3" t="s">
        <v>30</v>
      </c>
    </row>
    <row r="58" spans="1:33" s="3" customFormat="1" ht="12.95" customHeight="1" x14ac:dyDescent="0.2">
      <c r="A58" s="3" t="s">
        <v>42</v>
      </c>
      <c r="C58" s="7">
        <v>43544.358999999997</v>
      </c>
      <c r="D58" s="7"/>
      <c r="E58" s="3">
        <f t="shared" si="8"/>
        <v>-937.0045511148129</v>
      </c>
      <c r="F58" s="3">
        <f t="shared" si="9"/>
        <v>-937</v>
      </c>
      <c r="G58" s="3">
        <f t="shared" si="10"/>
        <v>-9.2045000055804849E-3</v>
      </c>
      <c r="I58" s="3">
        <f t="shared" si="7"/>
        <v>-9.2045000055804849E-3</v>
      </c>
      <c r="P58" s="3">
        <f t="shared" si="11"/>
        <v>-6.9853555183411846E-3</v>
      </c>
      <c r="Q58" s="5">
        <f t="shared" si="12"/>
        <v>28525.858999999997</v>
      </c>
      <c r="R58" s="5"/>
      <c r="S58" s="3">
        <f t="shared" si="13"/>
        <v>4.924602255244577E-6</v>
      </c>
      <c r="AB58" s="3" t="s">
        <v>31</v>
      </c>
      <c r="AC58" s="3">
        <v>8</v>
      </c>
      <c r="AE58" s="3" t="s">
        <v>40</v>
      </c>
      <c r="AG58" s="3" t="s">
        <v>30</v>
      </c>
    </row>
    <row r="59" spans="1:33" s="3" customFormat="1" ht="12.95" customHeight="1" x14ac:dyDescent="0.2">
      <c r="A59" s="3" t="s">
        <v>42</v>
      </c>
      <c r="C59" s="7">
        <v>43544.364999999998</v>
      </c>
      <c r="D59" s="7"/>
      <c r="E59" s="3">
        <f t="shared" si="8"/>
        <v>-937.00158444754402</v>
      </c>
      <c r="F59" s="3">
        <f t="shared" si="9"/>
        <v>-937</v>
      </c>
      <c r="G59" s="3">
        <f t="shared" si="10"/>
        <v>-3.204500004358124E-3</v>
      </c>
      <c r="I59" s="3">
        <f t="shared" si="7"/>
        <v>-3.204500004358124E-3</v>
      </c>
      <c r="P59" s="3">
        <f t="shared" si="11"/>
        <v>-6.9853555183411846E-3</v>
      </c>
      <c r="Q59" s="5">
        <f t="shared" si="12"/>
        <v>28525.864999999998</v>
      </c>
      <c r="R59" s="5"/>
      <c r="S59" s="3">
        <f t="shared" si="13"/>
        <v>1.4294868417616113E-5</v>
      </c>
      <c r="AB59" s="3" t="s">
        <v>31</v>
      </c>
      <c r="AC59" s="3">
        <v>6</v>
      </c>
      <c r="AE59" s="3" t="s">
        <v>28</v>
      </c>
      <c r="AG59" s="3" t="s">
        <v>30</v>
      </c>
    </row>
    <row r="60" spans="1:33" s="3" customFormat="1" ht="12.95" customHeight="1" x14ac:dyDescent="0.2">
      <c r="A60" s="3" t="s">
        <v>42</v>
      </c>
      <c r="C60" s="7">
        <v>43544.366999999998</v>
      </c>
      <c r="D60" s="7"/>
      <c r="E60" s="3">
        <f t="shared" si="8"/>
        <v>-937.00059555845451</v>
      </c>
      <c r="F60" s="3">
        <f t="shared" si="9"/>
        <v>-937</v>
      </c>
      <c r="G60" s="3">
        <f t="shared" si="10"/>
        <v>-1.2045000039506704E-3</v>
      </c>
      <c r="I60" s="3">
        <f t="shared" si="7"/>
        <v>-1.2045000039506704E-3</v>
      </c>
      <c r="P60" s="3">
        <f t="shared" si="11"/>
        <v>-6.9853555183411846E-3</v>
      </c>
      <c r="Q60" s="5">
        <f t="shared" si="12"/>
        <v>28525.866999999998</v>
      </c>
      <c r="R60" s="5"/>
      <c r="S60" s="3">
        <f t="shared" si="13"/>
        <v>3.3418290478259214E-5</v>
      </c>
      <c r="AB60" s="3" t="s">
        <v>31</v>
      </c>
      <c r="AC60" s="3">
        <v>9</v>
      </c>
      <c r="AE60" s="3" t="s">
        <v>36</v>
      </c>
      <c r="AG60" s="3" t="s">
        <v>30</v>
      </c>
    </row>
    <row r="61" spans="1:33" s="3" customFormat="1" ht="12.95" customHeight="1" x14ac:dyDescent="0.2">
      <c r="A61" s="3" t="s">
        <v>45</v>
      </c>
      <c r="C61" s="7">
        <v>43991.324000000001</v>
      </c>
      <c r="D61" s="7" t="s">
        <v>43</v>
      </c>
      <c r="E61" s="3">
        <f t="shared" si="8"/>
        <v>-716.00514518993145</v>
      </c>
      <c r="F61" s="3">
        <f t="shared" si="9"/>
        <v>-716</v>
      </c>
      <c r="G61" s="3">
        <f t="shared" si="10"/>
        <v>-1.040600000123959E-2</v>
      </c>
      <c r="I61" s="3">
        <f t="shared" si="7"/>
        <v>-1.040600000123959E-2</v>
      </c>
      <c r="P61" s="3">
        <f t="shared" si="11"/>
        <v>-4.2252448693426365E-3</v>
      </c>
      <c r="Q61" s="5">
        <f t="shared" si="12"/>
        <v>28972.824000000001</v>
      </c>
      <c r="R61" s="5"/>
      <c r="S61" s="3">
        <f t="shared" si="13"/>
        <v>3.8201734000470534E-5</v>
      </c>
      <c r="AB61" s="3" t="s">
        <v>31</v>
      </c>
      <c r="AC61" s="3">
        <v>8</v>
      </c>
      <c r="AE61" s="3" t="s">
        <v>44</v>
      </c>
      <c r="AG61" s="3" t="s">
        <v>30</v>
      </c>
    </row>
    <row r="62" spans="1:33" s="3" customFormat="1" ht="12.95" customHeight="1" x14ac:dyDescent="0.2">
      <c r="A62" s="3" t="s">
        <v>46</v>
      </c>
      <c r="C62" s="7">
        <v>44090.438999999998</v>
      </c>
      <c r="D62" s="7"/>
      <c r="E62" s="3">
        <f t="shared" si="8"/>
        <v>-666.99827414131698</v>
      </c>
      <c r="F62" s="3">
        <f t="shared" si="9"/>
        <v>-667</v>
      </c>
      <c r="G62" s="3">
        <f t="shared" si="10"/>
        <v>3.4904999993159436E-3</v>
      </c>
      <c r="I62" s="3">
        <f t="shared" si="7"/>
        <v>3.4904999993159436E-3</v>
      </c>
      <c r="P62" s="3">
        <f t="shared" si="11"/>
        <v>-3.6562813297664407E-3</v>
      </c>
      <c r="Q62" s="5">
        <f t="shared" si="12"/>
        <v>29071.938999999998</v>
      </c>
      <c r="R62" s="5"/>
      <c r="S62" s="3">
        <f t="shared" si="13"/>
        <v>5.1076483365720568E-5</v>
      </c>
      <c r="AB62" s="3" t="s">
        <v>31</v>
      </c>
      <c r="AC62" s="3">
        <v>7</v>
      </c>
      <c r="AE62" s="3" t="s">
        <v>28</v>
      </c>
      <c r="AG62" s="3" t="s">
        <v>30</v>
      </c>
    </row>
    <row r="63" spans="1:33" s="3" customFormat="1" ht="12.95" customHeight="1" x14ac:dyDescent="0.2">
      <c r="A63" s="3" t="s">
        <v>47</v>
      </c>
      <c r="C63" s="7">
        <v>44203.705000000002</v>
      </c>
      <c r="D63" s="7"/>
      <c r="E63" s="3">
        <f t="shared" si="8"/>
        <v>-610.99451834055378</v>
      </c>
      <c r="F63" s="3">
        <f t="shared" si="9"/>
        <v>-611</v>
      </c>
      <c r="G63" s="3">
        <f t="shared" si="10"/>
        <v>1.1086500002420507E-2</v>
      </c>
      <c r="I63" s="3">
        <f t="shared" si="7"/>
        <v>1.1086500002420507E-2</v>
      </c>
      <c r="P63" s="3">
        <f t="shared" si="11"/>
        <v>-3.0251513711219008E-3</v>
      </c>
      <c r="Q63" s="5">
        <f t="shared" si="12"/>
        <v>29185.205000000002</v>
      </c>
      <c r="R63" s="5"/>
      <c r="S63" s="3">
        <f t="shared" si="13"/>
        <v>1.9913870448840133E-4</v>
      </c>
      <c r="AB63" s="3" t="s">
        <v>31</v>
      </c>
      <c r="AC63" s="3">
        <v>6</v>
      </c>
      <c r="AE63" s="3" t="s">
        <v>28</v>
      </c>
      <c r="AG63" s="3" t="s">
        <v>30</v>
      </c>
    </row>
    <row r="64" spans="1:33" s="3" customFormat="1" ht="12.95" customHeight="1" x14ac:dyDescent="0.2">
      <c r="A64" s="3" t="s">
        <v>48</v>
      </c>
      <c r="C64" s="7">
        <v>44266.400000000001</v>
      </c>
      <c r="D64" s="7"/>
      <c r="E64" s="3">
        <f t="shared" si="8"/>
        <v>-579.99531761016044</v>
      </c>
      <c r="F64" s="3">
        <f t="shared" si="9"/>
        <v>-580</v>
      </c>
      <c r="G64" s="3">
        <f t="shared" si="10"/>
        <v>9.4700000045122579E-3</v>
      </c>
      <c r="I64" s="3">
        <f t="shared" si="7"/>
        <v>9.4700000045122579E-3</v>
      </c>
      <c r="P64" s="3">
        <f t="shared" si="11"/>
        <v>-2.6845429827091188E-3</v>
      </c>
      <c r="Q64" s="5">
        <f t="shared" si="12"/>
        <v>29247.9</v>
      </c>
      <c r="R64" s="5"/>
      <c r="S64" s="3">
        <f t="shared" si="13"/>
        <v>1.4773291522821234E-4</v>
      </c>
      <c r="AB64" s="3" t="s">
        <v>31</v>
      </c>
      <c r="AC64" s="3">
        <v>6</v>
      </c>
      <c r="AE64" s="3" t="s">
        <v>28</v>
      </c>
      <c r="AG64" s="3" t="s">
        <v>30</v>
      </c>
    </row>
    <row r="65" spans="1:33" s="3" customFormat="1" ht="12.95" customHeight="1" x14ac:dyDescent="0.2">
      <c r="A65" s="3" t="s">
        <v>49</v>
      </c>
      <c r="C65" s="7">
        <v>44359.411999999997</v>
      </c>
      <c r="D65" s="7"/>
      <c r="E65" s="3">
        <f t="shared" si="8"/>
        <v>-534.00604161789295</v>
      </c>
      <c r="F65" s="3">
        <f t="shared" si="9"/>
        <v>-534</v>
      </c>
      <c r="G65" s="3">
        <f t="shared" si="10"/>
        <v>-1.2219000003824476E-2</v>
      </c>
      <c r="I65" s="3">
        <f t="shared" si="7"/>
        <v>-1.2219000003824476E-2</v>
      </c>
      <c r="P65" s="3">
        <f t="shared" si="11"/>
        <v>-2.1906380454552281E-3</v>
      </c>
      <c r="Q65" s="5">
        <f t="shared" si="12"/>
        <v>29340.911999999997</v>
      </c>
      <c r="R65" s="5"/>
      <c r="S65" s="3">
        <f t="shared" si="13"/>
        <v>1.0056804356806751E-4</v>
      </c>
      <c r="AB65" s="3" t="s">
        <v>31</v>
      </c>
      <c r="AC65" s="3">
        <v>6</v>
      </c>
      <c r="AE65" s="3" t="s">
        <v>28</v>
      </c>
      <c r="AG65" s="3" t="s">
        <v>30</v>
      </c>
    </row>
    <row r="66" spans="1:33" s="3" customFormat="1" ht="12.95" customHeight="1" x14ac:dyDescent="0.2">
      <c r="A66" s="3" t="s">
        <v>50</v>
      </c>
      <c r="C66" s="7">
        <v>44563.707999999999</v>
      </c>
      <c r="D66" s="7"/>
      <c r="E66" s="3">
        <f t="shared" si="8"/>
        <v>-432.99299891246937</v>
      </c>
      <c r="F66" s="3">
        <f t="shared" si="9"/>
        <v>-433</v>
      </c>
      <c r="G66" s="3">
        <f t="shared" si="10"/>
        <v>1.4159500002278946E-2</v>
      </c>
      <c r="I66" s="3">
        <f t="shared" si="7"/>
        <v>1.4159500002278946E-2</v>
      </c>
      <c r="P66" s="3">
        <f t="shared" si="11"/>
        <v>-1.1544576648954688E-3</v>
      </c>
      <c r="Q66" s="5">
        <f t="shared" si="12"/>
        <v>29545.207999999999</v>
      </c>
      <c r="R66" s="5"/>
      <c r="S66" s="3">
        <f t="shared" si="13"/>
        <v>2.3451729943201009E-4</v>
      </c>
      <c r="AB66" s="3" t="s">
        <v>31</v>
      </c>
      <c r="AC66" s="3">
        <v>6</v>
      </c>
      <c r="AE66" s="3" t="s">
        <v>28</v>
      </c>
      <c r="AG66" s="3" t="s">
        <v>30</v>
      </c>
    </row>
    <row r="67" spans="1:33" s="3" customFormat="1" ht="12.95" customHeight="1" x14ac:dyDescent="0.2">
      <c r="A67" s="3" t="s">
        <v>51</v>
      </c>
      <c r="C67" s="7">
        <v>44634.483999999997</v>
      </c>
      <c r="D67" s="7"/>
      <c r="E67" s="3">
        <f t="shared" si="8"/>
        <v>-397.99819181630119</v>
      </c>
      <c r="F67" s="3">
        <f t="shared" si="9"/>
        <v>-398</v>
      </c>
      <c r="G67" s="3">
        <f t="shared" si="10"/>
        <v>3.6570000011124648E-3</v>
      </c>
      <c r="I67" s="3">
        <f t="shared" si="7"/>
        <v>3.6570000011124648E-3</v>
      </c>
      <c r="P67" s="3">
        <f t="shared" si="11"/>
        <v>-8.1085856397878177E-4</v>
      </c>
      <c r="Q67" s="5">
        <f t="shared" si="12"/>
        <v>29615.983999999997</v>
      </c>
      <c r="R67" s="5"/>
      <c r="S67" s="3">
        <f t="shared" si="13"/>
        <v>1.9961760157659211E-5</v>
      </c>
      <c r="AB67" s="3" t="s">
        <v>31</v>
      </c>
      <c r="AG67" s="3" t="s">
        <v>52</v>
      </c>
    </row>
    <row r="68" spans="1:33" s="3" customFormat="1" ht="12.95" customHeight="1" x14ac:dyDescent="0.2">
      <c r="A68" s="3" t="s">
        <v>53</v>
      </c>
      <c r="C68" s="7">
        <v>44636.508999999998</v>
      </c>
      <c r="D68" s="7"/>
      <c r="E68" s="3">
        <f t="shared" si="8"/>
        <v>-396.99694161326914</v>
      </c>
      <c r="F68" s="3">
        <f t="shared" si="9"/>
        <v>-397</v>
      </c>
      <c r="G68" s="3">
        <f t="shared" si="10"/>
        <v>6.1855000021751039E-3</v>
      </c>
      <c r="I68" s="3">
        <f t="shared" si="7"/>
        <v>6.1855000021751039E-3</v>
      </c>
      <c r="P68" s="3">
        <f t="shared" si="11"/>
        <v>-8.0115847182964421E-4</v>
      </c>
      <c r="Q68" s="5">
        <f t="shared" si="12"/>
        <v>29618.008999999998</v>
      </c>
      <c r="R68" s="5"/>
      <c r="S68" s="3">
        <f t="shared" si="13"/>
        <v>4.8813396632382362E-5</v>
      </c>
      <c r="AB68" s="3" t="s">
        <v>31</v>
      </c>
      <c r="AG68" s="3" t="s">
        <v>52</v>
      </c>
    </row>
    <row r="69" spans="1:33" s="3" customFormat="1" ht="12.95" customHeight="1" x14ac:dyDescent="0.2">
      <c r="A69" s="3" t="s">
        <v>53</v>
      </c>
      <c r="C69" s="7">
        <v>44638.52</v>
      </c>
      <c r="D69" s="7"/>
      <c r="E69" s="3">
        <f t="shared" si="8"/>
        <v>-396.00261363386443</v>
      </c>
      <c r="F69" s="3">
        <f t="shared" si="9"/>
        <v>-396</v>
      </c>
      <c r="G69" s="3">
        <f t="shared" si="10"/>
        <v>-5.2859999996144325E-3</v>
      </c>
      <c r="I69" s="3">
        <f t="shared" si="7"/>
        <v>-5.2859999996144325E-3</v>
      </c>
      <c r="P69" s="3">
        <f t="shared" si="11"/>
        <v>-7.9146488107050168E-4</v>
      </c>
      <c r="Q69" s="5">
        <f t="shared" si="12"/>
        <v>29620.019999999997</v>
      </c>
      <c r="R69" s="5"/>
      <c r="S69" s="3">
        <f t="shared" si="13"/>
        <v>2.0200845931824707E-5</v>
      </c>
      <c r="AB69" s="3" t="s">
        <v>31</v>
      </c>
      <c r="AG69" s="3" t="s">
        <v>52</v>
      </c>
    </row>
    <row r="70" spans="1:33" s="3" customFormat="1" ht="12.95" customHeight="1" x14ac:dyDescent="0.2">
      <c r="A70" s="3" t="s">
        <v>54</v>
      </c>
      <c r="C70" s="7">
        <v>44648.642</v>
      </c>
      <c r="D70" s="7"/>
      <c r="E70" s="3">
        <f t="shared" si="8"/>
        <v>-390.99784595234064</v>
      </c>
      <c r="F70" s="3">
        <f t="shared" si="9"/>
        <v>-391</v>
      </c>
      <c r="G70" s="3">
        <f t="shared" si="10"/>
        <v>4.3565000014496036E-3</v>
      </c>
      <c r="I70" s="3">
        <f t="shared" si="7"/>
        <v>4.3565000014496036E-3</v>
      </c>
      <c r="P70" s="3">
        <f t="shared" si="11"/>
        <v>-7.4309444812471423E-4</v>
      </c>
      <c r="Q70" s="5">
        <f t="shared" si="12"/>
        <v>29630.142</v>
      </c>
      <c r="R70" s="5"/>
      <c r="S70" s="3">
        <f t="shared" si="13"/>
        <v>2.600586355012919E-5</v>
      </c>
      <c r="AB70" s="3" t="s">
        <v>31</v>
      </c>
      <c r="AC70" s="3">
        <v>7</v>
      </c>
      <c r="AE70" s="3" t="s">
        <v>28</v>
      </c>
      <c r="AG70" s="3" t="s">
        <v>30</v>
      </c>
    </row>
    <row r="71" spans="1:33" s="3" customFormat="1" ht="12.95" customHeight="1" x14ac:dyDescent="0.2">
      <c r="A71" s="3" t="s">
        <v>56</v>
      </c>
      <c r="C71" s="7">
        <v>44713.332000000002</v>
      </c>
      <c r="D71" s="7" t="s">
        <v>43</v>
      </c>
      <c r="E71" s="3">
        <f t="shared" si="8"/>
        <v>-359.0122283552559</v>
      </c>
      <c r="F71" s="3">
        <f t="shared" si="9"/>
        <v>-359</v>
      </c>
      <c r="G71" s="3">
        <f t="shared" si="10"/>
        <v>-2.4731499994231854E-2</v>
      </c>
      <c r="I71" s="3">
        <f t="shared" si="7"/>
        <v>-2.4731499994231854E-2</v>
      </c>
      <c r="P71" s="3">
        <f t="shared" si="11"/>
        <v>-4.3737250014873504E-4</v>
      </c>
      <c r="Q71" s="5">
        <f t="shared" si="12"/>
        <v>29694.832000000002</v>
      </c>
      <c r="R71" s="5"/>
      <c r="S71" s="3">
        <f t="shared" si="13"/>
        <v>5.9020463069876534E-4</v>
      </c>
      <c r="AB71" s="3" t="s">
        <v>31</v>
      </c>
      <c r="AC71" s="3">
        <v>6</v>
      </c>
      <c r="AE71" s="3" t="s">
        <v>55</v>
      </c>
      <c r="AG71" s="3" t="s">
        <v>30</v>
      </c>
    </row>
    <row r="72" spans="1:33" s="3" customFormat="1" ht="12.95" customHeight="1" x14ac:dyDescent="0.2">
      <c r="A72" s="3" t="s">
        <v>56</v>
      </c>
      <c r="C72" s="7">
        <v>44713.345999999998</v>
      </c>
      <c r="D72" s="7"/>
      <c r="E72" s="3">
        <f t="shared" si="8"/>
        <v>-359.00530613163221</v>
      </c>
      <c r="F72" s="3">
        <f t="shared" si="9"/>
        <v>-359</v>
      </c>
      <c r="G72" s="3">
        <f t="shared" si="10"/>
        <v>-1.0731499998655636E-2</v>
      </c>
      <c r="I72" s="3">
        <f t="shared" si="7"/>
        <v>-1.0731499998655636E-2</v>
      </c>
      <c r="P72" s="3">
        <f t="shared" si="11"/>
        <v>-4.3737250014873504E-4</v>
      </c>
      <c r="Q72" s="5">
        <f t="shared" si="12"/>
        <v>29694.845999999998</v>
      </c>
      <c r="R72" s="5"/>
      <c r="S72" s="3">
        <f t="shared" si="13"/>
        <v>1.0596906095551595E-4</v>
      </c>
      <c r="AB72" s="3" t="s">
        <v>31</v>
      </c>
      <c r="AC72" s="3">
        <v>6</v>
      </c>
      <c r="AE72" s="3" t="s">
        <v>28</v>
      </c>
      <c r="AG72" s="3" t="s">
        <v>30</v>
      </c>
    </row>
    <row r="73" spans="1:33" s="3" customFormat="1" ht="12.95" customHeight="1" x14ac:dyDescent="0.2">
      <c r="A73" s="3" t="s">
        <v>56</v>
      </c>
      <c r="C73" s="7">
        <v>44713.372000000003</v>
      </c>
      <c r="D73" s="7"/>
      <c r="E73" s="3">
        <f t="shared" si="8"/>
        <v>-358.99245057346718</v>
      </c>
      <c r="F73" s="3">
        <f t="shared" si="9"/>
        <v>-359</v>
      </c>
      <c r="G73" s="3">
        <f t="shared" si="10"/>
        <v>1.5268500006641261E-2</v>
      </c>
      <c r="I73" s="3">
        <f t="shared" si="7"/>
        <v>1.5268500006641261E-2</v>
      </c>
      <c r="P73" s="3">
        <f t="shared" si="11"/>
        <v>-4.3737250014873504E-4</v>
      </c>
      <c r="Q73" s="5">
        <f t="shared" si="12"/>
        <v>29694.872000000003</v>
      </c>
      <c r="R73" s="5"/>
      <c r="S73" s="3">
        <f t="shared" si="13"/>
        <v>2.4667443119954184E-4</v>
      </c>
      <c r="AB73" s="3" t="s">
        <v>31</v>
      </c>
      <c r="AC73" s="3">
        <v>8</v>
      </c>
      <c r="AE73" s="3" t="s">
        <v>40</v>
      </c>
      <c r="AG73" s="3" t="s">
        <v>30</v>
      </c>
    </row>
    <row r="74" spans="1:33" s="3" customFormat="1" ht="12.95" customHeight="1" x14ac:dyDescent="0.2">
      <c r="A74" s="3" t="s">
        <v>56</v>
      </c>
      <c r="C74" s="7">
        <v>44717.387999999999</v>
      </c>
      <c r="D74" s="7"/>
      <c r="E74" s="3">
        <f t="shared" si="8"/>
        <v>-357.00676128192663</v>
      </c>
      <c r="F74" s="3">
        <f t="shared" si="9"/>
        <v>-357</v>
      </c>
      <c r="G74" s="3">
        <f t="shared" si="10"/>
        <v>-1.3674499998160172E-2</v>
      </c>
      <c r="I74" s="3">
        <f t="shared" si="7"/>
        <v>-1.3674499998160172E-2</v>
      </c>
      <c r="P74" s="3">
        <f t="shared" si="11"/>
        <v>-4.184859256600676E-4</v>
      </c>
      <c r="Q74" s="5">
        <f t="shared" si="12"/>
        <v>29698.887999999999</v>
      </c>
      <c r="R74" s="5"/>
      <c r="S74" s="3">
        <f t="shared" si="13"/>
        <v>1.7572190909032081E-4</v>
      </c>
      <c r="AB74" s="3" t="s">
        <v>31</v>
      </c>
      <c r="AC74" s="3">
        <v>9</v>
      </c>
      <c r="AE74" s="3" t="s">
        <v>28</v>
      </c>
      <c r="AG74" s="3" t="s">
        <v>30</v>
      </c>
    </row>
    <row r="75" spans="1:33" s="3" customFormat="1" ht="12.95" customHeight="1" x14ac:dyDescent="0.2">
      <c r="A75" s="3" t="s">
        <v>57</v>
      </c>
      <c r="C75" s="7">
        <v>44919.652999999998</v>
      </c>
      <c r="D75" s="7"/>
      <c r="E75" s="3">
        <f t="shared" si="8"/>
        <v>-256.99793544680392</v>
      </c>
      <c r="F75" s="3">
        <f t="shared" si="9"/>
        <v>-257</v>
      </c>
      <c r="G75" s="3">
        <f t="shared" si="10"/>
        <v>4.1754999983822927E-3</v>
      </c>
      <c r="I75" s="3">
        <f t="shared" si="7"/>
        <v>4.1754999983822927E-3</v>
      </c>
      <c r="P75" s="3">
        <f t="shared" si="11"/>
        <v>4.9268570979863857E-4</v>
      </c>
      <c r="Q75" s="5">
        <f t="shared" si="12"/>
        <v>29901.152999999998</v>
      </c>
      <c r="R75" s="5"/>
      <c r="S75" s="3">
        <f t="shared" si="13"/>
        <v>1.3563121084195925E-5</v>
      </c>
      <c r="AB75" s="3" t="s">
        <v>31</v>
      </c>
      <c r="AC75" s="3">
        <v>10</v>
      </c>
      <c r="AE75" s="3" t="s">
        <v>28</v>
      </c>
      <c r="AG75" s="3" t="s">
        <v>30</v>
      </c>
    </row>
    <row r="76" spans="1:33" s="3" customFormat="1" ht="12.95" customHeight="1" x14ac:dyDescent="0.2">
      <c r="A76" s="3" t="s">
        <v>59</v>
      </c>
      <c r="C76" s="7">
        <v>44936.383000000002</v>
      </c>
      <c r="D76" s="7"/>
      <c r="E76" s="3">
        <f t="shared" si="8"/>
        <v>-248.72587821385738</v>
      </c>
      <c r="F76" s="3">
        <f t="shared" si="9"/>
        <v>-248.5</v>
      </c>
      <c r="P76" s="3">
        <f t="shared" si="11"/>
        <v>5.6713734535116878E-4</v>
      </c>
      <c r="Q76" s="5">
        <f t="shared" si="12"/>
        <v>29917.883000000002</v>
      </c>
      <c r="R76" s="5"/>
      <c r="S76" s="3">
        <f t="shared" si="13"/>
        <v>3.2164476849197087E-7</v>
      </c>
      <c r="V76" s="6">
        <v>-0.456832249998115</v>
      </c>
      <c r="AC76" s="3">
        <v>9</v>
      </c>
      <c r="AE76" s="3" t="s">
        <v>58</v>
      </c>
      <c r="AG76" s="3" t="s">
        <v>30</v>
      </c>
    </row>
    <row r="77" spans="1:33" s="3" customFormat="1" ht="12.95" customHeight="1" x14ac:dyDescent="0.2">
      <c r="A77" s="3" t="s">
        <v>60</v>
      </c>
      <c r="C77" s="7">
        <v>44986.383000000002</v>
      </c>
      <c r="D77" s="7"/>
      <c r="E77" s="3">
        <f t="shared" si="8"/>
        <v>-224.00365097851684</v>
      </c>
      <c r="F77" s="3">
        <f t="shared" si="9"/>
        <v>-224</v>
      </c>
      <c r="G77" s="3">
        <f>+C77-(C$7+F77*C$8)</f>
        <v>-7.3839999968186021E-3</v>
      </c>
      <c r="I77" s="3">
        <f>G77</f>
        <v>-7.3839999968186021E-3</v>
      </c>
      <c r="P77" s="3">
        <f t="shared" si="11"/>
        <v>7.7910504915591034E-4</v>
      </c>
      <c r="Q77" s="5">
        <f t="shared" si="12"/>
        <v>29967.883000000002</v>
      </c>
      <c r="R77" s="5"/>
      <c r="S77" s="3">
        <f t="shared" si="13"/>
        <v>6.6636283991614557E-5</v>
      </c>
      <c r="AB77" s="3" t="s">
        <v>31</v>
      </c>
      <c r="AG77" s="3" t="s">
        <v>52</v>
      </c>
    </row>
    <row r="78" spans="1:33" s="3" customFormat="1" ht="12.95" customHeight="1" x14ac:dyDescent="0.2">
      <c r="A78" s="3" t="s">
        <v>61</v>
      </c>
      <c r="C78" s="7">
        <v>45077</v>
      </c>
      <c r="D78" s="7"/>
      <c r="E78" s="3">
        <f t="shared" si="8"/>
        <v>-179.1985696708206</v>
      </c>
      <c r="F78" s="3">
        <f t="shared" si="9"/>
        <v>-179</v>
      </c>
      <c r="P78" s="3">
        <f t="shared" si="11"/>
        <v>1.1582669361109063E-3</v>
      </c>
      <c r="Q78" s="5">
        <f t="shared" si="12"/>
        <v>30058.5</v>
      </c>
      <c r="R78" s="5"/>
      <c r="S78" s="3">
        <f t="shared" si="13"/>
        <v>1.3415822952877462E-6</v>
      </c>
      <c r="V78" s="6">
        <v>-0.40160150000156136</v>
      </c>
      <c r="AC78" s="3">
        <v>8</v>
      </c>
      <c r="AE78" s="3" t="s">
        <v>40</v>
      </c>
      <c r="AG78" s="3" t="s">
        <v>30</v>
      </c>
    </row>
    <row r="79" spans="1:33" s="3" customFormat="1" ht="12.95" customHeight="1" x14ac:dyDescent="0.2">
      <c r="A79" s="3" t="s">
        <v>62</v>
      </c>
      <c r="C79" s="7">
        <v>45077.404000000002</v>
      </c>
      <c r="D79" s="7"/>
      <c r="E79" s="3">
        <f t="shared" si="8"/>
        <v>-178.99881407475795</v>
      </c>
      <c r="F79" s="3">
        <f t="shared" si="9"/>
        <v>-179</v>
      </c>
      <c r="G79" s="3">
        <f t="shared" ref="G79:G126" si="14">+C79-(C$7+F79*C$8)</f>
        <v>2.3985000007087365E-3</v>
      </c>
      <c r="I79" s="3">
        <f t="shared" ref="I79:I110" si="15">G79</f>
        <v>2.3985000007087365E-3</v>
      </c>
      <c r="P79" s="3">
        <f t="shared" si="11"/>
        <v>1.1582669361109063E-3</v>
      </c>
      <c r="Q79" s="5">
        <f t="shared" si="12"/>
        <v>30058.904000000002</v>
      </c>
      <c r="R79" s="5"/>
      <c r="S79" s="3">
        <f t="shared" si="13"/>
        <v>1.5381780545217257E-6</v>
      </c>
      <c r="AB79" s="3" t="s">
        <v>31</v>
      </c>
      <c r="AG79" s="3" t="s">
        <v>52</v>
      </c>
    </row>
    <row r="80" spans="1:33" s="3" customFormat="1" ht="12.95" customHeight="1" x14ac:dyDescent="0.2">
      <c r="A80" s="3" t="s">
        <v>61</v>
      </c>
      <c r="C80" s="7">
        <v>45077.406000000003</v>
      </c>
      <c r="D80" s="7"/>
      <c r="E80" s="3">
        <f t="shared" si="8"/>
        <v>-178.99782518566832</v>
      </c>
      <c r="F80" s="3">
        <f t="shared" si="9"/>
        <v>-179</v>
      </c>
      <c r="G80" s="3">
        <f t="shared" si="14"/>
        <v>4.3985000011161901E-3</v>
      </c>
      <c r="I80" s="3">
        <f t="shared" si="15"/>
        <v>4.3985000011161901E-3</v>
      </c>
      <c r="P80" s="3">
        <f t="shared" si="11"/>
        <v>1.1582669361109063E-3</v>
      </c>
      <c r="Q80" s="5">
        <f t="shared" si="12"/>
        <v>30058.906000000003</v>
      </c>
      <c r="R80" s="5"/>
      <c r="S80" s="3">
        <f t="shared" si="13"/>
        <v>1.0499110315553534E-5</v>
      </c>
      <c r="AB80" s="3" t="s">
        <v>31</v>
      </c>
      <c r="AC80" s="3">
        <v>7</v>
      </c>
      <c r="AE80" s="3" t="s">
        <v>28</v>
      </c>
      <c r="AG80" s="3" t="s">
        <v>30</v>
      </c>
    </row>
    <row r="81" spans="1:33" s="3" customFormat="1" ht="12.95" customHeight="1" x14ac:dyDescent="0.2">
      <c r="A81" s="3" t="s">
        <v>63</v>
      </c>
      <c r="C81" s="7">
        <v>45336.277999999998</v>
      </c>
      <c r="D81" s="7"/>
      <c r="E81" s="3">
        <f t="shared" si="8"/>
        <v>-50.99997700832899</v>
      </c>
      <c r="F81" s="3">
        <f t="shared" si="9"/>
        <v>-51</v>
      </c>
      <c r="G81" s="3">
        <f t="shared" si="14"/>
        <v>4.6499997552018613E-5</v>
      </c>
      <c r="I81" s="3">
        <f t="shared" si="15"/>
        <v>4.6499997552018613E-5</v>
      </c>
      <c r="P81" s="3">
        <f t="shared" si="11"/>
        <v>2.1647884689801051E-3</v>
      </c>
      <c r="Q81" s="5">
        <f t="shared" si="12"/>
        <v>30317.777999999998</v>
      </c>
      <c r="R81" s="5"/>
      <c r="S81" s="3">
        <f t="shared" si="13"/>
        <v>4.4871460481851393E-6</v>
      </c>
      <c r="AB81" s="3" t="s">
        <v>31</v>
      </c>
      <c r="AC81" s="3">
        <v>6</v>
      </c>
      <c r="AE81" s="3" t="s">
        <v>28</v>
      </c>
      <c r="AG81" s="3" t="s">
        <v>30</v>
      </c>
    </row>
    <row r="82" spans="1:33" s="3" customFormat="1" ht="12.95" customHeight="1" x14ac:dyDescent="0.2">
      <c r="A82" s="31" t="s">
        <v>328</v>
      </c>
      <c r="B82" s="32" t="s">
        <v>92</v>
      </c>
      <c r="C82" s="33">
        <v>45338.277999999998</v>
      </c>
      <c r="E82" s="9">
        <f t="shared" si="8"/>
        <v>-50.011087918915365</v>
      </c>
      <c r="F82" s="3">
        <f t="shared" si="9"/>
        <v>-50</v>
      </c>
      <c r="G82" s="3">
        <f t="shared" si="14"/>
        <v>-2.2425000002840534E-2</v>
      </c>
      <c r="H82" s="7"/>
      <c r="I82" s="3">
        <f t="shared" si="15"/>
        <v>-2.2425000002840534E-2</v>
      </c>
      <c r="J82" s="4"/>
      <c r="O82" s="3">
        <f ca="1">+C$11+C$12*F82</f>
        <v>-7.6884548234871827E-2</v>
      </c>
      <c r="P82" s="3">
        <f t="shared" si="11"/>
        <v>2.172232578800966E-3</v>
      </c>
      <c r="Q82" s="5">
        <f t="shared" si="12"/>
        <v>30319.777999999998</v>
      </c>
      <c r="R82" s="5"/>
      <c r="S82" s="3">
        <f t="shared" si="13"/>
        <v>6.0502385067536608E-4</v>
      </c>
    </row>
    <row r="83" spans="1:33" s="3" customFormat="1" ht="12.95" customHeight="1" x14ac:dyDescent="0.2">
      <c r="A83" s="3" t="s">
        <v>63</v>
      </c>
      <c r="C83" s="7">
        <v>45346.391000000003</v>
      </c>
      <c r="D83" s="7"/>
      <c r="E83" s="3">
        <f t="shared" si="8"/>
        <v>-45.999659327706624</v>
      </c>
      <c r="F83" s="3">
        <f t="shared" si="9"/>
        <v>-46</v>
      </c>
      <c r="G83" s="3">
        <f t="shared" si="14"/>
        <v>6.8900000769644976E-4</v>
      </c>
      <c r="I83" s="3">
        <f t="shared" si="15"/>
        <v>6.8900000769644976E-4</v>
      </c>
      <c r="P83" s="3">
        <f t="shared" si="11"/>
        <v>2.2019440041844596E-3</v>
      </c>
      <c r="Q83" s="5">
        <f t="shared" si="12"/>
        <v>30327.891000000003</v>
      </c>
      <c r="R83" s="5"/>
      <c r="S83" s="3">
        <f t="shared" si="13"/>
        <v>2.2889995365091113E-6</v>
      </c>
      <c r="AB83" s="3" t="s">
        <v>31</v>
      </c>
      <c r="AC83" s="3">
        <v>11</v>
      </c>
      <c r="AE83" s="3" t="s">
        <v>36</v>
      </c>
      <c r="AG83" s="3" t="s">
        <v>30</v>
      </c>
    </row>
    <row r="84" spans="1:33" s="3" customFormat="1" ht="12.95" customHeight="1" x14ac:dyDescent="0.2">
      <c r="A84" s="3" t="s">
        <v>65</v>
      </c>
      <c r="C84" s="7">
        <v>45435.366999999998</v>
      </c>
      <c r="D84" s="7"/>
      <c r="E84" s="3">
        <f t="shared" si="8"/>
        <v>-2.0059615178758756</v>
      </c>
      <c r="F84" s="3">
        <f t="shared" si="9"/>
        <v>-2</v>
      </c>
      <c r="G84" s="3">
        <f t="shared" si="14"/>
        <v>-1.2056999999913387E-2</v>
      </c>
      <c r="I84" s="3">
        <f t="shared" si="15"/>
        <v>-1.2056999999913387E-2</v>
      </c>
      <c r="P84" s="3">
        <f t="shared" si="11"/>
        <v>2.5219042155681325E-3</v>
      </c>
      <c r="Q84" s="5">
        <f t="shared" si="12"/>
        <v>30416.866999999998</v>
      </c>
      <c r="R84" s="5"/>
      <c r="S84" s="3">
        <f t="shared" si="13"/>
        <v>2.1254444812418484E-4</v>
      </c>
      <c r="AB84" s="3" t="s">
        <v>31</v>
      </c>
      <c r="AC84" s="3">
        <v>5</v>
      </c>
      <c r="AE84" s="3" t="s">
        <v>64</v>
      </c>
      <c r="AG84" s="3" t="s">
        <v>30</v>
      </c>
    </row>
    <row r="85" spans="1:33" s="3" customFormat="1" ht="12.95" customHeight="1" x14ac:dyDescent="0.2">
      <c r="A85" s="3" t="s">
        <v>65</v>
      </c>
      <c r="C85" s="7">
        <v>45437.413999999997</v>
      </c>
      <c r="D85" s="7"/>
      <c r="E85" s="3">
        <f t="shared" ref="E85:E116" si="16">+(C85-C$7)/C$8</f>
        <v>-0.99383353486169634</v>
      </c>
      <c r="F85" s="3">
        <f t="shared" ref="F85:F116" si="17">ROUND(2*E85,0)/2</f>
        <v>-1</v>
      </c>
      <c r="G85" s="3">
        <f t="shared" si="14"/>
        <v>1.2471499998355284E-2</v>
      </c>
      <c r="I85" s="3">
        <f t="shared" si="15"/>
        <v>1.2471499998355284E-2</v>
      </c>
      <c r="P85" s="3">
        <f t="shared" ref="P85:P116" si="18">+D$11+D$12*F85+D$13*F85^2</f>
        <v>2.5290297572792366E-3</v>
      </c>
      <c r="Q85" s="5">
        <f t="shared" ref="Q85:Q116" si="19">+C85-15018.5</f>
        <v>30418.913999999997</v>
      </c>
      <c r="R85" s="5"/>
      <c r="S85" s="3">
        <f t="shared" ref="S85:S116" si="20">+(P85-G85)^2</f>
        <v>9.8852714494682814E-5</v>
      </c>
      <c r="AB85" s="3" t="s">
        <v>31</v>
      </c>
      <c r="AC85" s="3">
        <v>6</v>
      </c>
      <c r="AE85" s="3" t="s">
        <v>64</v>
      </c>
      <c r="AG85" s="3" t="s">
        <v>30</v>
      </c>
    </row>
    <row r="86" spans="1:33" s="3" customFormat="1" ht="12.95" customHeight="1" x14ac:dyDescent="0.2">
      <c r="A86" s="3" t="s">
        <v>66</v>
      </c>
      <c r="C86" s="7">
        <v>45439.423999999999</v>
      </c>
      <c r="D86" s="7"/>
      <c r="E86" s="3">
        <f t="shared" si="16"/>
        <v>0</v>
      </c>
      <c r="F86" s="3">
        <f t="shared" si="17"/>
        <v>0</v>
      </c>
      <c r="G86" s="3">
        <f t="shared" si="14"/>
        <v>0</v>
      </c>
      <c r="I86" s="3">
        <f t="shared" si="15"/>
        <v>0</v>
      </c>
      <c r="P86" s="3">
        <f t="shared" si="18"/>
        <v>2.5361487976003458E-3</v>
      </c>
      <c r="Q86" s="5">
        <f t="shared" si="19"/>
        <v>30420.923999999999</v>
      </c>
      <c r="R86" s="5"/>
      <c r="S86" s="3">
        <f t="shared" si="20"/>
        <v>6.4320507235696795E-6</v>
      </c>
      <c r="AB86" s="3" t="s">
        <v>31</v>
      </c>
      <c r="AC86" s="3">
        <v>9</v>
      </c>
      <c r="AE86" s="3" t="s">
        <v>36</v>
      </c>
      <c r="AG86" s="3" t="s">
        <v>30</v>
      </c>
    </row>
    <row r="87" spans="1:33" s="3" customFormat="1" ht="12.95" customHeight="1" x14ac:dyDescent="0.2">
      <c r="A87" s="3" t="s">
        <v>51</v>
      </c>
      <c r="C87" s="7">
        <v>45623.466999999997</v>
      </c>
      <c r="D87" s="7"/>
      <c r="E87" s="3">
        <f t="shared" si="16"/>
        <v>90.999057341474455</v>
      </c>
      <c r="F87" s="3">
        <f t="shared" si="17"/>
        <v>91</v>
      </c>
      <c r="G87" s="3">
        <f t="shared" si="14"/>
        <v>-1.9065000014961697E-3</v>
      </c>
      <c r="I87" s="3">
        <f t="shared" si="15"/>
        <v>-1.9065000014961697E-3</v>
      </c>
      <c r="P87" s="3">
        <f t="shared" si="18"/>
        <v>3.1567666483020788E-3</v>
      </c>
      <c r="Q87" s="5">
        <f t="shared" si="19"/>
        <v>30604.966999999997</v>
      </c>
      <c r="R87" s="5"/>
      <c r="S87" s="3">
        <f t="shared" si="20"/>
        <v>2.5636669166959179E-5</v>
      </c>
      <c r="AB87" s="3" t="s">
        <v>31</v>
      </c>
      <c r="AG87" s="3" t="s">
        <v>52</v>
      </c>
    </row>
    <row r="88" spans="1:33" s="3" customFormat="1" ht="12.95" customHeight="1" x14ac:dyDescent="0.2">
      <c r="A88" s="3" t="s">
        <v>51</v>
      </c>
      <c r="C88" s="7">
        <v>45623.481</v>
      </c>
      <c r="D88" s="7"/>
      <c r="E88" s="3">
        <f t="shared" si="16"/>
        <v>91.005979565101754</v>
      </c>
      <c r="F88" s="3">
        <f t="shared" si="17"/>
        <v>91</v>
      </c>
      <c r="G88" s="3">
        <f t="shared" si="14"/>
        <v>1.2093500001356006E-2</v>
      </c>
      <c r="I88" s="3">
        <f t="shared" si="15"/>
        <v>1.2093500001356006E-2</v>
      </c>
      <c r="P88" s="3">
        <f t="shared" si="18"/>
        <v>3.1567666483020788E-3</v>
      </c>
      <c r="Q88" s="5">
        <f t="shared" si="19"/>
        <v>30604.981</v>
      </c>
      <c r="R88" s="5"/>
      <c r="S88" s="3">
        <f t="shared" si="20"/>
        <v>7.9865203023586477E-5</v>
      </c>
      <c r="AB88" s="3" t="s">
        <v>31</v>
      </c>
      <c r="AG88" s="3" t="s">
        <v>52</v>
      </c>
    </row>
    <row r="89" spans="1:33" s="3" customFormat="1" ht="12.95" customHeight="1" x14ac:dyDescent="0.2">
      <c r="A89" s="3" t="s">
        <v>68</v>
      </c>
      <c r="C89" s="7">
        <v>45694.252999999997</v>
      </c>
      <c r="D89" s="7"/>
      <c r="E89" s="3">
        <f t="shared" si="16"/>
        <v>125.99880888309076</v>
      </c>
      <c r="F89" s="3">
        <f t="shared" si="17"/>
        <v>126</v>
      </c>
      <c r="G89" s="3">
        <f t="shared" si="14"/>
        <v>-2.4090000006253831E-3</v>
      </c>
      <c r="I89" s="3">
        <f t="shared" si="15"/>
        <v>-2.4090000006253831E-3</v>
      </c>
      <c r="P89" s="3">
        <f t="shared" si="18"/>
        <v>3.3811302567098508E-3</v>
      </c>
      <c r="Q89" s="5">
        <f t="shared" si="19"/>
        <v>30675.752999999997</v>
      </c>
      <c r="R89" s="5"/>
      <c r="S89" s="3">
        <f t="shared" si="20"/>
        <v>3.3525608396908985E-5</v>
      </c>
      <c r="AB89" s="3" t="s">
        <v>31</v>
      </c>
      <c r="AC89" s="3">
        <v>7</v>
      </c>
      <c r="AE89" s="3" t="s">
        <v>67</v>
      </c>
      <c r="AG89" s="3" t="s">
        <v>30</v>
      </c>
    </row>
    <row r="90" spans="1:33" s="3" customFormat="1" ht="12.95" customHeight="1" x14ac:dyDescent="0.2">
      <c r="A90" s="3" t="s">
        <v>68</v>
      </c>
      <c r="C90" s="7">
        <v>45698.3</v>
      </c>
      <c r="D90" s="7"/>
      <c r="E90" s="3">
        <f t="shared" si="16"/>
        <v>127.99982595552217</v>
      </c>
      <c r="F90" s="3">
        <f t="shared" si="17"/>
        <v>128</v>
      </c>
      <c r="G90" s="3">
        <f t="shared" si="14"/>
        <v>-3.5199999547330663E-4</v>
      </c>
      <c r="I90" s="3">
        <f t="shared" si="15"/>
        <v>-3.5199999547330663E-4</v>
      </c>
      <c r="P90" s="3">
        <f t="shared" si="18"/>
        <v>3.3937104829033357E-3</v>
      </c>
      <c r="Q90" s="5">
        <f t="shared" si="19"/>
        <v>30679.800000000003</v>
      </c>
      <c r="R90" s="5"/>
      <c r="S90" s="3">
        <f t="shared" si="20"/>
        <v>1.4030346987820575E-5</v>
      </c>
      <c r="AB90" s="3" t="s">
        <v>31</v>
      </c>
      <c r="AC90" s="3">
        <v>6</v>
      </c>
      <c r="AE90" s="3" t="s">
        <v>28</v>
      </c>
      <c r="AG90" s="3" t="s">
        <v>30</v>
      </c>
    </row>
    <row r="91" spans="1:33" s="3" customFormat="1" ht="12.95" customHeight="1" x14ac:dyDescent="0.2">
      <c r="A91" s="3" t="s">
        <v>68</v>
      </c>
      <c r="C91" s="7">
        <v>45710.440999999999</v>
      </c>
      <c r="D91" s="7"/>
      <c r="E91" s="3">
        <f t="shared" si="16"/>
        <v>134.00287717280557</v>
      </c>
      <c r="F91" s="3">
        <f t="shared" si="17"/>
        <v>134</v>
      </c>
      <c r="G91" s="3">
        <f t="shared" si="14"/>
        <v>5.81899999815505E-3</v>
      </c>
      <c r="I91" s="3">
        <f t="shared" si="15"/>
        <v>5.81899999815505E-3</v>
      </c>
      <c r="P91" s="3">
        <f t="shared" si="18"/>
        <v>3.4312951281239095E-3</v>
      </c>
      <c r="Q91" s="5">
        <f t="shared" si="19"/>
        <v>30691.940999999999</v>
      </c>
      <c r="R91" s="5"/>
      <c r="S91" s="3">
        <f t="shared" si="20"/>
        <v>5.7011345463704254E-6</v>
      </c>
      <c r="AB91" s="3" t="s">
        <v>31</v>
      </c>
      <c r="AC91" s="3">
        <v>7</v>
      </c>
      <c r="AE91" s="3" t="s">
        <v>28</v>
      </c>
      <c r="AG91" s="3" t="s">
        <v>30</v>
      </c>
    </row>
    <row r="92" spans="1:33" s="3" customFormat="1" ht="12.95" customHeight="1" x14ac:dyDescent="0.2">
      <c r="A92" s="3" t="s">
        <v>51</v>
      </c>
      <c r="C92" s="7">
        <v>45791.330999999998</v>
      </c>
      <c r="D92" s="7"/>
      <c r="E92" s="3">
        <f t="shared" si="16"/>
        <v>173.99849639413918</v>
      </c>
      <c r="F92" s="3">
        <f t="shared" si="17"/>
        <v>174</v>
      </c>
      <c r="G92" s="3">
        <f t="shared" si="14"/>
        <v>-3.04100000357721E-3</v>
      </c>
      <c r="I92" s="3">
        <f t="shared" si="15"/>
        <v>-3.04100000357721E-3</v>
      </c>
      <c r="P92" s="3">
        <f t="shared" si="18"/>
        <v>3.6758781507989727E-3</v>
      </c>
      <c r="Q92" s="5">
        <f t="shared" si="19"/>
        <v>30772.830999999998</v>
      </c>
      <c r="R92" s="5"/>
      <c r="S92" s="3">
        <f t="shared" si="20"/>
        <v>4.5116452140735997E-5</v>
      </c>
      <c r="AB92" s="3" t="s">
        <v>31</v>
      </c>
      <c r="AG92" s="3" t="s">
        <v>52</v>
      </c>
    </row>
    <row r="93" spans="1:33" s="3" customFormat="1" ht="12.95" customHeight="1" x14ac:dyDescent="0.2">
      <c r="A93" s="3" t="s">
        <v>69</v>
      </c>
      <c r="C93" s="7">
        <v>45791.339</v>
      </c>
      <c r="D93" s="7"/>
      <c r="E93" s="3">
        <f t="shared" si="16"/>
        <v>174.00245195049763</v>
      </c>
      <c r="F93" s="3">
        <f t="shared" si="17"/>
        <v>174</v>
      </c>
      <c r="G93" s="3">
        <f t="shared" si="14"/>
        <v>4.9589999980526045E-3</v>
      </c>
      <c r="I93" s="3">
        <f t="shared" si="15"/>
        <v>4.9589999980526045E-3</v>
      </c>
      <c r="P93" s="3">
        <f t="shared" si="18"/>
        <v>3.6758781507989727E-3</v>
      </c>
      <c r="Q93" s="5">
        <f t="shared" si="19"/>
        <v>30772.839</v>
      </c>
      <c r="R93" s="5"/>
      <c r="S93" s="3">
        <f t="shared" si="20"/>
        <v>1.6464016748995722E-6</v>
      </c>
      <c r="AB93" s="3" t="s">
        <v>31</v>
      </c>
      <c r="AC93" s="3">
        <v>8</v>
      </c>
      <c r="AE93" s="3" t="s">
        <v>58</v>
      </c>
      <c r="AG93" s="3" t="s">
        <v>30</v>
      </c>
    </row>
    <row r="94" spans="1:33" s="3" customFormat="1" ht="12.95" customHeight="1" x14ac:dyDescent="0.2">
      <c r="A94" s="3" t="s">
        <v>69</v>
      </c>
      <c r="C94" s="7">
        <v>45805.483999999997</v>
      </c>
      <c r="D94" s="7"/>
      <c r="E94" s="3">
        <f t="shared" si="16"/>
        <v>180.99637003537387</v>
      </c>
      <c r="F94" s="3">
        <f t="shared" si="17"/>
        <v>181</v>
      </c>
      <c r="G94" s="3">
        <f t="shared" si="14"/>
        <v>-7.3415000006207265E-3</v>
      </c>
      <c r="I94" s="3">
        <f t="shared" si="15"/>
        <v>-7.3415000006207265E-3</v>
      </c>
      <c r="P94" s="3">
        <f t="shared" si="18"/>
        <v>3.7176107011129261E-3</v>
      </c>
      <c r="Q94" s="5">
        <f t="shared" si="19"/>
        <v>30786.983999999997</v>
      </c>
      <c r="R94" s="5"/>
      <c r="S94" s="3">
        <f t="shared" si="20"/>
        <v>1.2230392951319979E-4</v>
      </c>
      <c r="AB94" s="3" t="s">
        <v>31</v>
      </c>
      <c r="AC94" s="3">
        <v>7</v>
      </c>
      <c r="AE94" s="3" t="s">
        <v>67</v>
      </c>
      <c r="AG94" s="3" t="s">
        <v>30</v>
      </c>
    </row>
    <row r="95" spans="1:33" s="3" customFormat="1" ht="12.95" customHeight="1" x14ac:dyDescent="0.2">
      <c r="A95" s="3" t="s">
        <v>70</v>
      </c>
      <c r="C95" s="7">
        <v>45878.309000000001</v>
      </c>
      <c r="D95" s="7"/>
      <c r="E95" s="3">
        <f t="shared" si="16"/>
        <v>217.00429400364951</v>
      </c>
      <c r="F95" s="3">
        <f t="shared" si="17"/>
        <v>217</v>
      </c>
      <c r="G95" s="3">
        <f t="shared" si="14"/>
        <v>8.6845000041648746E-3</v>
      </c>
      <c r="I95" s="3">
        <f t="shared" si="15"/>
        <v>8.6845000041648746E-3</v>
      </c>
      <c r="P95" s="3">
        <f t="shared" si="18"/>
        <v>3.9272031697285287E-3</v>
      </c>
      <c r="Q95" s="5">
        <f t="shared" si="19"/>
        <v>30859.809000000001</v>
      </c>
      <c r="R95" s="5"/>
      <c r="S95" s="3">
        <f t="shared" si="20"/>
        <v>2.2631873170938078E-5</v>
      </c>
      <c r="AB95" s="3" t="s">
        <v>31</v>
      </c>
      <c r="AC95" s="3">
        <v>4</v>
      </c>
      <c r="AE95" s="3" t="s">
        <v>44</v>
      </c>
      <c r="AG95" s="3" t="s">
        <v>30</v>
      </c>
    </row>
    <row r="96" spans="1:33" s="3" customFormat="1" ht="12.95" customHeight="1" x14ac:dyDescent="0.2">
      <c r="A96" s="3" t="s">
        <v>70</v>
      </c>
      <c r="C96" s="7">
        <v>45880.326999999997</v>
      </c>
      <c r="D96" s="7"/>
      <c r="E96" s="3">
        <f t="shared" si="16"/>
        <v>218.00208309486607</v>
      </c>
      <c r="F96" s="3">
        <f t="shared" si="17"/>
        <v>218</v>
      </c>
      <c r="G96" s="3">
        <f t="shared" si="14"/>
        <v>4.2130000001634471E-3</v>
      </c>
      <c r="I96" s="3">
        <f t="shared" si="15"/>
        <v>4.2130000001634471E-3</v>
      </c>
      <c r="P96" s="3">
        <f t="shared" si="18"/>
        <v>3.9329049070307206E-3</v>
      </c>
      <c r="Q96" s="5">
        <f t="shared" si="19"/>
        <v>30861.826999999997</v>
      </c>
      <c r="R96" s="5"/>
      <c r="S96" s="3">
        <f t="shared" si="20"/>
        <v>7.8453261197030744E-8</v>
      </c>
      <c r="AB96" s="3" t="s">
        <v>31</v>
      </c>
      <c r="AC96" s="3">
        <v>5</v>
      </c>
      <c r="AE96" s="3" t="s">
        <v>44</v>
      </c>
      <c r="AG96" s="3" t="s">
        <v>30</v>
      </c>
    </row>
    <row r="97" spans="1:33" s="3" customFormat="1" ht="12.95" customHeight="1" x14ac:dyDescent="0.2">
      <c r="A97" s="3" t="s">
        <v>71</v>
      </c>
      <c r="C97" s="7">
        <v>46153.351000000002</v>
      </c>
      <c r="D97" s="7"/>
      <c r="E97" s="3">
        <f t="shared" si="16"/>
        <v>352.99731046890071</v>
      </c>
      <c r="F97" s="3">
        <f t="shared" si="17"/>
        <v>353</v>
      </c>
      <c r="G97" s="3">
        <f t="shared" si="14"/>
        <v>-5.4394999970099889E-3</v>
      </c>
      <c r="I97" s="3">
        <f t="shared" si="15"/>
        <v>-5.4394999970099889E-3</v>
      </c>
      <c r="P97" s="3">
        <f t="shared" si="18"/>
        <v>4.6429566826722262E-3</v>
      </c>
      <c r="Q97" s="5">
        <f t="shared" si="19"/>
        <v>31134.851000000002</v>
      </c>
      <c r="R97" s="5"/>
      <c r="S97" s="3">
        <f t="shared" si="20"/>
        <v>1.0165593269766852E-4</v>
      </c>
      <c r="AB97" s="3" t="s">
        <v>31</v>
      </c>
      <c r="AC97" s="3">
        <v>11</v>
      </c>
      <c r="AE97" s="3" t="s">
        <v>36</v>
      </c>
      <c r="AG97" s="3" t="s">
        <v>30</v>
      </c>
    </row>
    <row r="98" spans="1:33" s="3" customFormat="1" ht="12.95" customHeight="1" x14ac:dyDescent="0.2">
      <c r="A98" s="3" t="s">
        <v>72</v>
      </c>
      <c r="C98" s="7">
        <v>46167.504999999997</v>
      </c>
      <c r="D98" s="7"/>
      <c r="E98" s="3">
        <f t="shared" si="16"/>
        <v>359.99567855467842</v>
      </c>
      <c r="F98" s="3">
        <f t="shared" si="17"/>
        <v>360</v>
      </c>
      <c r="G98" s="3">
        <f t="shared" si="14"/>
        <v>-8.740000004763715E-3</v>
      </c>
      <c r="I98" s="3">
        <f t="shared" si="15"/>
        <v>-8.740000004763715E-3</v>
      </c>
      <c r="P98" s="3">
        <f t="shared" si="18"/>
        <v>4.6765429913224014E-3</v>
      </c>
      <c r="Q98" s="5">
        <f t="shared" si="19"/>
        <v>31149.004999999997</v>
      </c>
      <c r="R98" s="5"/>
      <c r="S98" s="3">
        <f t="shared" si="20"/>
        <v>1.8000362596582743E-4</v>
      </c>
      <c r="AB98" s="3" t="s">
        <v>31</v>
      </c>
      <c r="AG98" s="3" t="s">
        <v>52</v>
      </c>
    </row>
    <row r="99" spans="1:33" s="3" customFormat="1" ht="12.95" customHeight="1" x14ac:dyDescent="0.2">
      <c r="A99" s="3" t="s">
        <v>73</v>
      </c>
      <c r="C99" s="7">
        <v>46438.523000000001</v>
      </c>
      <c r="D99" s="7"/>
      <c r="E99" s="3">
        <f t="shared" si="16"/>
        <v>493.99905017203059</v>
      </c>
      <c r="F99" s="3">
        <f t="shared" si="17"/>
        <v>494</v>
      </c>
      <c r="G99" s="3">
        <f t="shared" si="14"/>
        <v>-1.9209999954910018E-3</v>
      </c>
      <c r="I99" s="3">
        <f t="shared" si="15"/>
        <v>-1.9209999954910018E-3</v>
      </c>
      <c r="P99" s="3">
        <f t="shared" si="18"/>
        <v>5.2580622684855463E-3</v>
      </c>
      <c r="Q99" s="5">
        <f t="shared" si="19"/>
        <v>31420.023000000001</v>
      </c>
      <c r="R99" s="5"/>
      <c r="S99" s="3">
        <f t="shared" si="20"/>
        <v>5.1538934990052077E-5</v>
      </c>
      <c r="AB99" s="3" t="s">
        <v>31</v>
      </c>
      <c r="AG99" s="3" t="s">
        <v>52</v>
      </c>
    </row>
    <row r="100" spans="1:33" s="3" customFormat="1" ht="12.95" customHeight="1" x14ac:dyDescent="0.2">
      <c r="A100" s="3" t="s">
        <v>73</v>
      </c>
      <c r="C100" s="7">
        <v>46519.445</v>
      </c>
      <c r="D100" s="7"/>
      <c r="E100" s="3">
        <f t="shared" si="16"/>
        <v>534.0104916187945</v>
      </c>
      <c r="F100" s="3">
        <f t="shared" si="17"/>
        <v>534</v>
      </c>
      <c r="G100" s="3">
        <f t="shared" si="14"/>
        <v>2.1219000002020039E-2</v>
      </c>
      <c r="I100" s="3">
        <f t="shared" si="15"/>
        <v>2.1219000002020039E-2</v>
      </c>
      <c r="P100" s="3">
        <f t="shared" si="18"/>
        <v>5.4090252752321257E-3</v>
      </c>
      <c r="Q100" s="5">
        <f t="shared" si="19"/>
        <v>31500.945</v>
      </c>
      <c r="R100" s="5"/>
      <c r="S100" s="3">
        <f t="shared" si="20"/>
        <v>2.4995530086167249E-4</v>
      </c>
      <c r="AB100" s="3" t="s">
        <v>31</v>
      </c>
      <c r="AG100" s="3" t="s">
        <v>52</v>
      </c>
    </row>
    <row r="101" spans="1:33" s="3" customFormat="1" ht="12.95" customHeight="1" x14ac:dyDescent="0.2">
      <c r="A101" s="3" t="s">
        <v>74</v>
      </c>
      <c r="C101" s="7">
        <v>47233.37</v>
      </c>
      <c r="D101" s="7"/>
      <c r="E101" s="3">
        <f t="shared" si="16"/>
        <v>887.00681319860553</v>
      </c>
      <c r="F101" s="3">
        <f t="shared" si="17"/>
        <v>887</v>
      </c>
      <c r="G101" s="3">
        <f t="shared" si="14"/>
        <v>1.3779500004602596E-2</v>
      </c>
      <c r="I101" s="3">
        <f t="shared" si="15"/>
        <v>1.3779500004602596E-2</v>
      </c>
      <c r="P101" s="3">
        <f t="shared" si="18"/>
        <v>6.2903081434601887E-3</v>
      </c>
      <c r="Q101" s="5">
        <f t="shared" si="19"/>
        <v>32214.870000000003</v>
      </c>
      <c r="R101" s="5"/>
      <c r="S101" s="3">
        <f t="shared" si="20"/>
        <v>5.6087994733001678E-5</v>
      </c>
      <c r="AB101" s="3" t="s">
        <v>31</v>
      </c>
      <c r="AC101" s="3">
        <v>7</v>
      </c>
      <c r="AE101" s="3" t="s">
        <v>36</v>
      </c>
      <c r="AG101" s="3" t="s">
        <v>30</v>
      </c>
    </row>
    <row r="102" spans="1:33" s="3" customFormat="1" ht="12.95" customHeight="1" x14ac:dyDescent="0.2">
      <c r="A102" s="3" t="s">
        <v>74</v>
      </c>
      <c r="C102" s="7">
        <v>47239.438999999998</v>
      </c>
      <c r="D102" s="7"/>
      <c r="E102" s="3">
        <f t="shared" si="16"/>
        <v>890.0075971404292</v>
      </c>
      <c r="F102" s="3">
        <f t="shared" si="17"/>
        <v>890</v>
      </c>
      <c r="G102" s="3">
        <f t="shared" si="14"/>
        <v>1.5364999999292195E-2</v>
      </c>
      <c r="I102" s="3">
        <f t="shared" si="15"/>
        <v>1.5364999999292195E-2</v>
      </c>
      <c r="P102" s="3">
        <f t="shared" si="18"/>
        <v>6.2943260573067603E-3</v>
      </c>
      <c r="Q102" s="5">
        <f t="shared" si="19"/>
        <v>32220.938999999998</v>
      </c>
      <c r="R102" s="5"/>
      <c r="S102" s="3">
        <f t="shared" si="20"/>
        <v>8.22771257618136E-5</v>
      </c>
      <c r="AB102" s="3" t="s">
        <v>31</v>
      </c>
      <c r="AC102" s="3">
        <v>10</v>
      </c>
      <c r="AE102" s="3" t="s">
        <v>36</v>
      </c>
      <c r="AG102" s="3" t="s">
        <v>30</v>
      </c>
    </row>
    <row r="103" spans="1:33" s="3" customFormat="1" ht="12.95" customHeight="1" x14ac:dyDescent="0.2">
      <c r="A103" s="3" t="s">
        <v>75</v>
      </c>
      <c r="C103" s="7">
        <v>47591.347999999998</v>
      </c>
      <c r="D103" s="7"/>
      <c r="E103" s="3">
        <f t="shared" si="16"/>
        <v>1064.0070824236579</v>
      </c>
      <c r="F103" s="3">
        <f t="shared" si="17"/>
        <v>1064</v>
      </c>
      <c r="G103" s="3">
        <f t="shared" si="14"/>
        <v>1.4323999996122438E-2</v>
      </c>
      <c r="I103" s="3">
        <f t="shared" si="15"/>
        <v>1.4323999996122438E-2</v>
      </c>
      <c r="P103" s="3">
        <f t="shared" si="18"/>
        <v>6.4272501558744893E-3</v>
      </c>
      <c r="Q103" s="5">
        <f t="shared" si="19"/>
        <v>32572.847999999998</v>
      </c>
      <c r="R103" s="5"/>
      <c r="S103" s="3">
        <f t="shared" si="20"/>
        <v>6.2358658039456016E-5</v>
      </c>
      <c r="AB103" s="3" t="s">
        <v>31</v>
      </c>
      <c r="AC103" s="3">
        <v>10</v>
      </c>
      <c r="AE103" s="3" t="s">
        <v>36</v>
      </c>
      <c r="AG103" s="3" t="s">
        <v>30</v>
      </c>
    </row>
    <row r="104" spans="1:33" s="3" customFormat="1" ht="12.95" customHeight="1" x14ac:dyDescent="0.2">
      <c r="A104" s="31" t="s">
        <v>396</v>
      </c>
      <c r="B104" s="32" t="s">
        <v>92</v>
      </c>
      <c r="C104" s="33">
        <v>47593.358999999997</v>
      </c>
      <c r="E104" s="9">
        <f t="shared" si="16"/>
        <v>1065.0014104030627</v>
      </c>
      <c r="F104" s="3">
        <f t="shared" si="17"/>
        <v>1065</v>
      </c>
      <c r="G104" s="3">
        <f t="shared" si="14"/>
        <v>2.8524999943329021E-3</v>
      </c>
      <c r="H104" s="7"/>
      <c r="I104" s="3">
        <f t="shared" si="15"/>
        <v>2.8524999943329021E-3</v>
      </c>
      <c r="J104" s="4"/>
      <c r="O104" s="3">
        <f ca="1">+C$11+C$12*F104</f>
        <v>-5.754971654953258E-2</v>
      </c>
      <c r="P104" s="3">
        <f t="shared" si="18"/>
        <v>6.4274452158508879E-3</v>
      </c>
      <c r="Q104" s="5">
        <f t="shared" si="19"/>
        <v>32574.858999999997</v>
      </c>
      <c r="R104" s="5"/>
      <c r="S104" s="3">
        <f t="shared" si="20"/>
        <v>1.278023333685428E-5</v>
      </c>
    </row>
    <row r="105" spans="1:33" s="3" customFormat="1" ht="12.95" customHeight="1" x14ac:dyDescent="0.2">
      <c r="A105" s="3" t="s">
        <v>75</v>
      </c>
      <c r="C105" s="7">
        <v>47597.415999999997</v>
      </c>
      <c r="D105" s="7"/>
      <c r="E105" s="3">
        <f t="shared" si="16"/>
        <v>1067.0073719209386</v>
      </c>
      <c r="F105" s="3">
        <f t="shared" si="17"/>
        <v>1067</v>
      </c>
      <c r="G105" s="3">
        <f t="shared" si="14"/>
        <v>1.4909500001522247E-2</v>
      </c>
      <c r="I105" s="3">
        <f t="shared" si="15"/>
        <v>1.4909500001522247E-2</v>
      </c>
      <c r="P105" s="3">
        <f t="shared" si="18"/>
        <v>6.4278158316337002E-3</v>
      </c>
      <c r="Q105" s="5">
        <f t="shared" si="19"/>
        <v>32578.915999999997</v>
      </c>
      <c r="R105" s="5"/>
      <c r="S105" s="3">
        <f t="shared" si="20"/>
        <v>7.1938966357737972E-5</v>
      </c>
      <c r="AB105" s="3" t="s">
        <v>31</v>
      </c>
      <c r="AC105" s="3">
        <v>11</v>
      </c>
      <c r="AE105" s="3" t="s">
        <v>36</v>
      </c>
      <c r="AG105" s="3" t="s">
        <v>30</v>
      </c>
    </row>
    <row r="106" spans="1:33" s="3" customFormat="1" ht="12.95" customHeight="1" x14ac:dyDescent="0.2">
      <c r="A106" s="3" t="s">
        <v>76</v>
      </c>
      <c r="C106" s="7">
        <v>47947.294999999998</v>
      </c>
      <c r="D106" s="7"/>
      <c r="E106" s="3">
        <f t="shared" si="16"/>
        <v>1240.0031347784131</v>
      </c>
      <c r="F106" s="3">
        <f t="shared" si="17"/>
        <v>1240</v>
      </c>
      <c r="G106" s="3">
        <f t="shared" si="14"/>
        <v>6.339999999909196E-3</v>
      </c>
      <c r="I106" s="3">
        <f t="shared" si="15"/>
        <v>6.339999999909196E-3</v>
      </c>
      <c r="P106" s="3">
        <f t="shared" si="18"/>
        <v>6.3614593057971115E-3</v>
      </c>
      <c r="Q106" s="5">
        <f t="shared" si="19"/>
        <v>32928.794999999998</v>
      </c>
      <c r="R106" s="5"/>
      <c r="S106" s="3">
        <f t="shared" si="20"/>
        <v>4.6050180919112082E-10</v>
      </c>
      <c r="AB106" s="3" t="s">
        <v>31</v>
      </c>
      <c r="AC106" s="3">
        <v>11</v>
      </c>
      <c r="AE106" s="3" t="s">
        <v>36</v>
      </c>
      <c r="AG106" s="3" t="s">
        <v>30</v>
      </c>
    </row>
    <row r="107" spans="1:33" s="3" customFormat="1" ht="12.95" customHeight="1" x14ac:dyDescent="0.2">
      <c r="A107" s="3" t="s">
        <v>76</v>
      </c>
      <c r="C107" s="7">
        <v>47955.392999999996</v>
      </c>
      <c r="D107" s="7"/>
      <c r="E107" s="3">
        <f t="shared" si="16"/>
        <v>1244.0071467014479</v>
      </c>
      <c r="F107" s="3">
        <f t="shared" si="17"/>
        <v>1244</v>
      </c>
      <c r="G107" s="3">
        <f t="shared" si="14"/>
        <v>1.4453999996476341E-2</v>
      </c>
      <c r="I107" s="3">
        <f t="shared" si="15"/>
        <v>1.4453999996476341E-2</v>
      </c>
      <c r="P107" s="3">
        <f t="shared" si="18"/>
        <v>6.3576235588062311E-3</v>
      </c>
      <c r="Q107" s="5">
        <f t="shared" si="19"/>
        <v>32936.892999999996</v>
      </c>
      <c r="R107" s="5"/>
      <c r="S107" s="3">
        <f t="shared" si="20"/>
        <v>6.5551311420459756E-5</v>
      </c>
      <c r="AB107" s="3" t="s">
        <v>31</v>
      </c>
      <c r="AC107" s="3">
        <v>14</v>
      </c>
      <c r="AE107" s="3" t="s">
        <v>36</v>
      </c>
      <c r="AG107" s="3" t="s">
        <v>30</v>
      </c>
    </row>
    <row r="108" spans="1:33" s="3" customFormat="1" ht="12.95" customHeight="1" x14ac:dyDescent="0.2">
      <c r="A108" s="3" t="s">
        <v>77</v>
      </c>
      <c r="C108" s="7">
        <v>48404.392</v>
      </c>
      <c r="D108" s="7">
        <v>3.0000000000000001E-3</v>
      </c>
      <c r="E108" s="3">
        <f t="shared" si="16"/>
        <v>1466.0122528302627</v>
      </c>
      <c r="F108" s="3">
        <f t="shared" si="17"/>
        <v>1466</v>
      </c>
      <c r="G108" s="3">
        <f t="shared" si="14"/>
        <v>2.4781000000075437E-2</v>
      </c>
      <c r="I108" s="3">
        <f t="shared" si="15"/>
        <v>2.4781000000075437E-2</v>
      </c>
      <c r="P108" s="3">
        <f t="shared" si="18"/>
        <v>5.9816457313969923E-3</v>
      </c>
      <c r="Q108" s="5">
        <f t="shared" si="19"/>
        <v>33385.892</v>
      </c>
      <c r="R108" s="5"/>
      <c r="S108" s="3">
        <f t="shared" si="20"/>
        <v>3.5341572091927847E-4</v>
      </c>
      <c r="AB108" s="3" t="s">
        <v>31</v>
      </c>
      <c r="AC108" s="3">
        <v>8</v>
      </c>
      <c r="AE108" s="3" t="s">
        <v>36</v>
      </c>
      <c r="AG108" s="3" t="s">
        <v>30</v>
      </c>
    </row>
    <row r="109" spans="1:33" s="3" customFormat="1" ht="12.95" customHeight="1" x14ac:dyDescent="0.2">
      <c r="A109" s="3" t="s">
        <v>78</v>
      </c>
      <c r="C109" s="7">
        <v>48766.400000000001</v>
      </c>
      <c r="D109" s="7">
        <v>4.0000000000000001E-3</v>
      </c>
      <c r="E109" s="3">
        <f t="shared" si="16"/>
        <v>1645.0051335704866</v>
      </c>
      <c r="F109" s="3">
        <f t="shared" si="17"/>
        <v>1645</v>
      </c>
      <c r="G109" s="3">
        <f t="shared" si="14"/>
        <v>1.0382500004197937E-2</v>
      </c>
      <c r="I109" s="3">
        <f t="shared" si="15"/>
        <v>1.0382500004197937E-2</v>
      </c>
      <c r="P109" s="3">
        <f t="shared" si="18"/>
        <v>5.4451608018988209E-3</v>
      </c>
      <c r="Q109" s="5">
        <f t="shared" si="19"/>
        <v>33747.9</v>
      </c>
      <c r="R109" s="5"/>
      <c r="S109" s="3">
        <f t="shared" si="20"/>
        <v>2.4377318398559668E-5</v>
      </c>
      <c r="AB109" s="3" t="s">
        <v>31</v>
      </c>
      <c r="AC109" s="3">
        <v>8</v>
      </c>
      <c r="AE109" s="3" t="s">
        <v>36</v>
      </c>
      <c r="AG109" s="3" t="s">
        <v>30</v>
      </c>
    </row>
    <row r="110" spans="1:33" s="3" customFormat="1" ht="12.95" customHeight="1" x14ac:dyDescent="0.2">
      <c r="A110" s="3" t="s">
        <v>79</v>
      </c>
      <c r="C110" s="7">
        <v>48770.434999999998</v>
      </c>
      <c r="D110" s="7"/>
      <c r="E110" s="3">
        <f t="shared" si="16"/>
        <v>1647.0002173083767</v>
      </c>
      <c r="F110" s="3">
        <f t="shared" si="17"/>
        <v>1647</v>
      </c>
      <c r="G110" s="3">
        <f t="shared" si="14"/>
        <v>4.3949999962933362E-4</v>
      </c>
      <c r="I110" s="3">
        <f t="shared" si="15"/>
        <v>4.3949999962933362E-4</v>
      </c>
      <c r="P110" s="3">
        <f t="shared" si="18"/>
        <v>5.437989805287393E-3</v>
      </c>
      <c r="Q110" s="5">
        <f t="shared" si="19"/>
        <v>33751.934999999998</v>
      </c>
      <c r="R110" s="5"/>
      <c r="S110" s="3">
        <f t="shared" si="20"/>
        <v>2.4984900337267546E-5</v>
      </c>
      <c r="AB110" s="3" t="s">
        <v>31</v>
      </c>
      <c r="AG110" s="3" t="s">
        <v>52</v>
      </c>
    </row>
    <row r="111" spans="1:33" s="3" customFormat="1" ht="12.95" customHeight="1" x14ac:dyDescent="0.2">
      <c r="A111" s="3" t="s">
        <v>81</v>
      </c>
      <c r="C111" s="7">
        <v>49480.322699999997</v>
      </c>
      <c r="D111" s="7"/>
      <c r="E111" s="3">
        <f t="shared" si="16"/>
        <v>1998.0003179278413</v>
      </c>
      <c r="F111" s="3">
        <f t="shared" si="17"/>
        <v>1998</v>
      </c>
      <c r="G111" s="3">
        <f t="shared" si="14"/>
        <v>6.429999993997626E-4</v>
      </c>
      <c r="J111" s="3">
        <f>G111</f>
        <v>6.429999993997626E-4</v>
      </c>
      <c r="P111" s="3">
        <f t="shared" si="18"/>
        <v>3.7767090377046324E-3</v>
      </c>
      <c r="Q111" s="5">
        <f t="shared" si="19"/>
        <v>34461.822699999997</v>
      </c>
      <c r="R111" s="5"/>
      <c r="S111" s="3">
        <f t="shared" si="20"/>
        <v>9.8201323367536321E-6</v>
      </c>
      <c r="AB111" s="3" t="s">
        <v>80</v>
      </c>
      <c r="AG111" s="3" t="s">
        <v>52</v>
      </c>
    </row>
    <row r="112" spans="1:33" s="3" customFormat="1" ht="12.95" customHeight="1" x14ac:dyDescent="0.2">
      <c r="A112" s="3" t="s">
        <v>81</v>
      </c>
      <c r="C112" s="7">
        <v>49480.323400000001</v>
      </c>
      <c r="D112" s="7"/>
      <c r="E112" s="3">
        <f t="shared" si="16"/>
        <v>1998.0006640390245</v>
      </c>
      <c r="F112" s="3">
        <f t="shared" si="17"/>
        <v>1998</v>
      </c>
      <c r="G112" s="3">
        <f t="shared" si="14"/>
        <v>1.3430000035441481E-3</v>
      </c>
      <c r="J112" s="3">
        <f>G112</f>
        <v>1.3430000035441481E-3</v>
      </c>
      <c r="P112" s="3">
        <f t="shared" si="18"/>
        <v>3.7767090377046324E-3</v>
      </c>
      <c r="Q112" s="5">
        <f t="shared" si="19"/>
        <v>34461.823400000001</v>
      </c>
      <c r="R112" s="5"/>
      <c r="S112" s="3">
        <f t="shared" si="20"/>
        <v>5.9229396629543577E-6</v>
      </c>
      <c r="AB112" s="3" t="s">
        <v>82</v>
      </c>
      <c r="AG112" s="3" t="s">
        <v>52</v>
      </c>
    </row>
    <row r="113" spans="1:33" s="3" customFormat="1" ht="12.95" customHeight="1" x14ac:dyDescent="0.2">
      <c r="A113" s="3" t="s">
        <v>83</v>
      </c>
      <c r="C113" s="7">
        <v>49484.375999999997</v>
      </c>
      <c r="D113" s="7"/>
      <c r="E113" s="3">
        <f t="shared" si="16"/>
        <v>2000.0044500009012</v>
      </c>
      <c r="F113" s="3">
        <f t="shared" si="17"/>
        <v>2000</v>
      </c>
      <c r="G113" s="3">
        <f t="shared" si="14"/>
        <v>8.9999999981955625E-3</v>
      </c>
      <c r="I113" s="3">
        <f>G113</f>
        <v>8.9999999981955625E-3</v>
      </c>
      <c r="O113" s="3">
        <f t="shared" ref="O113:O147" ca="1" si="21">+C$11+C$12*F113</f>
        <v>-4.1336202983799662E-2</v>
      </c>
      <c r="P113" s="3">
        <f t="shared" si="18"/>
        <v>3.7649480597567106E-3</v>
      </c>
      <c r="Q113" s="5">
        <f t="shared" si="19"/>
        <v>34465.875999999997</v>
      </c>
      <c r="R113" s="5"/>
      <c r="S113" s="3">
        <f t="shared" si="20"/>
        <v>2.740576879815238E-5</v>
      </c>
      <c r="AB113" s="3" t="s">
        <v>31</v>
      </c>
      <c r="AC113" s="3">
        <v>7</v>
      </c>
      <c r="AE113" s="3" t="s">
        <v>36</v>
      </c>
      <c r="AG113" s="3" t="s">
        <v>30</v>
      </c>
    </row>
    <row r="114" spans="1:33" s="3" customFormat="1" ht="12.95" customHeight="1" x14ac:dyDescent="0.2">
      <c r="A114" s="3" t="s">
        <v>81</v>
      </c>
      <c r="C114" s="7">
        <v>49486.390700000004</v>
      </c>
      <c r="D114" s="7"/>
      <c r="E114" s="3">
        <f t="shared" si="16"/>
        <v>2001.0006074251255</v>
      </c>
      <c r="F114" s="3">
        <f t="shared" si="17"/>
        <v>2001</v>
      </c>
      <c r="G114" s="3">
        <f t="shared" si="14"/>
        <v>1.2285000047995709E-3</v>
      </c>
      <c r="J114" s="3">
        <f>G114</f>
        <v>1.2285000047995709E-3</v>
      </c>
      <c r="O114" s="3">
        <f t="shared" ca="1" si="21"/>
        <v>-4.1318862327579628E-2</v>
      </c>
      <c r="P114" s="3">
        <f t="shared" si="18"/>
        <v>3.7590578186977586E-3</v>
      </c>
      <c r="Q114" s="5">
        <f t="shared" si="19"/>
        <v>34467.890700000004</v>
      </c>
      <c r="R114" s="5"/>
      <c r="S114" s="3">
        <f t="shared" si="20"/>
        <v>6.4037228494811744E-6</v>
      </c>
      <c r="AB114" s="3" t="s">
        <v>80</v>
      </c>
      <c r="AG114" s="3" t="s">
        <v>52</v>
      </c>
    </row>
    <row r="115" spans="1:33" s="3" customFormat="1" ht="12.95" customHeight="1" x14ac:dyDescent="0.2">
      <c r="A115" s="9" t="s">
        <v>81</v>
      </c>
      <c r="B115" s="9"/>
      <c r="C115" s="14">
        <v>49486.391300000003</v>
      </c>
      <c r="D115" s="7"/>
      <c r="E115" s="3">
        <f t="shared" si="16"/>
        <v>2001.0009040918519</v>
      </c>
      <c r="F115" s="3">
        <f t="shared" si="17"/>
        <v>2001</v>
      </c>
      <c r="G115" s="3">
        <f t="shared" si="14"/>
        <v>1.8285000041942112E-3</v>
      </c>
      <c r="J115" s="3">
        <f>G115</f>
        <v>1.8285000041942112E-3</v>
      </c>
      <c r="O115" s="3">
        <f t="shared" ca="1" si="21"/>
        <v>-4.1318862327579628E-2</v>
      </c>
      <c r="P115" s="3">
        <f t="shared" si="18"/>
        <v>3.7590578186977586E-3</v>
      </c>
      <c r="Q115" s="5">
        <f t="shared" si="19"/>
        <v>34467.891300000003</v>
      </c>
      <c r="R115" s="5"/>
      <c r="S115" s="3">
        <f t="shared" si="20"/>
        <v>3.7270534751407131E-6</v>
      </c>
      <c r="AB115" s="3" t="s">
        <v>82</v>
      </c>
      <c r="AG115" s="3" t="s">
        <v>52</v>
      </c>
    </row>
    <row r="116" spans="1:33" s="3" customFormat="1" ht="12.95" customHeight="1" x14ac:dyDescent="0.2">
      <c r="A116" s="9" t="s">
        <v>83</v>
      </c>
      <c r="B116" s="9"/>
      <c r="C116" s="14">
        <v>49486.392</v>
      </c>
      <c r="D116" s="7"/>
      <c r="E116" s="3">
        <f t="shared" si="16"/>
        <v>2001.0012502030318</v>
      </c>
      <c r="F116" s="3">
        <f t="shared" si="17"/>
        <v>2001</v>
      </c>
      <c r="G116" s="3">
        <f t="shared" si="14"/>
        <v>2.5285000010626391E-3</v>
      </c>
      <c r="I116" s="3">
        <f>G116</f>
        <v>2.5285000010626391E-3</v>
      </c>
      <c r="O116" s="3">
        <f t="shared" ca="1" si="21"/>
        <v>-4.1318862327579628E-2</v>
      </c>
      <c r="P116" s="3">
        <f t="shared" si="18"/>
        <v>3.7590578186977586E-3</v>
      </c>
      <c r="Q116" s="5">
        <f t="shared" si="19"/>
        <v>34467.892</v>
      </c>
      <c r="R116" s="5"/>
      <c r="S116" s="3">
        <f t="shared" si="20"/>
        <v>1.5142725425429081E-6</v>
      </c>
      <c r="AB116" s="3" t="s">
        <v>31</v>
      </c>
      <c r="AC116" s="3">
        <v>7</v>
      </c>
      <c r="AE116" s="3" t="s">
        <v>36</v>
      </c>
      <c r="AG116" s="3" t="s">
        <v>30</v>
      </c>
    </row>
    <row r="117" spans="1:33" s="3" customFormat="1" ht="12.95" customHeight="1" x14ac:dyDescent="0.2">
      <c r="A117" s="9" t="s">
        <v>79</v>
      </c>
      <c r="B117" s="9"/>
      <c r="C117" s="14">
        <v>49488.413</v>
      </c>
      <c r="D117" s="7"/>
      <c r="E117" s="3">
        <f t="shared" ref="E117:E147" si="22">+(C117-C$7)/C$8</f>
        <v>2002.0005226278845</v>
      </c>
      <c r="F117" s="3">
        <f t="shared" ref="F117:F148" si="23">ROUND(2*E117,0)/2</f>
        <v>2002</v>
      </c>
      <c r="G117" s="3">
        <f t="shared" si="14"/>
        <v>1.0570000013103709E-3</v>
      </c>
      <c r="I117" s="3">
        <f>G117</f>
        <v>1.0570000013103709E-3</v>
      </c>
      <c r="O117" s="3">
        <f t="shared" ca="1" si="21"/>
        <v>-4.1301521671359594E-2</v>
      </c>
      <c r="P117" s="3">
        <f t="shared" ref="P117:P147" si="24">+D$11+D$12*F117+D$13*F117^2</f>
        <v>3.753161076248809E-3</v>
      </c>
      <c r="Q117" s="5">
        <f t="shared" ref="Q117:Q147" si="25">+C117-15018.5</f>
        <v>34469.913</v>
      </c>
      <c r="R117" s="5"/>
      <c r="S117" s="3">
        <f t="shared" ref="S117:S147" si="26">+(P117-G117)^2</f>
        <v>7.2692845420131943E-6</v>
      </c>
      <c r="AB117" s="3" t="s">
        <v>31</v>
      </c>
      <c r="AG117" s="3" t="s">
        <v>52</v>
      </c>
    </row>
    <row r="118" spans="1:33" s="3" customFormat="1" ht="12.95" customHeight="1" x14ac:dyDescent="0.2">
      <c r="A118" s="31" t="s">
        <v>443</v>
      </c>
      <c r="B118" s="32" t="s">
        <v>92</v>
      </c>
      <c r="C118" s="33">
        <v>49749.325199999999</v>
      </c>
      <c r="E118" s="9">
        <f t="shared" si="22"/>
        <v>2131.0071365653362</v>
      </c>
      <c r="F118" s="3">
        <f t="shared" si="23"/>
        <v>2131</v>
      </c>
      <c r="G118" s="3">
        <f t="shared" si="14"/>
        <v>1.4433500000450294E-2</v>
      </c>
      <c r="H118" s="7"/>
      <c r="I118" s="4"/>
      <c r="J118" s="4"/>
      <c r="K118" s="3">
        <f>G118</f>
        <v>1.4433500000450294E-2</v>
      </c>
      <c r="O118" s="3">
        <f t="shared" ca="1" si="21"/>
        <v>-3.9064577018975054E-2</v>
      </c>
      <c r="P118" s="3">
        <f t="shared" si="24"/>
        <v>2.9379671452261693E-3</v>
      </c>
      <c r="Q118" s="5">
        <f t="shared" si="25"/>
        <v>34730.825199999999</v>
      </c>
      <c r="R118" s="5"/>
      <c r="S118" s="3">
        <f t="shared" si="26"/>
        <v>1.3214727562553733E-4</v>
      </c>
    </row>
    <row r="119" spans="1:33" s="3" customFormat="1" ht="12.95" customHeight="1" x14ac:dyDescent="0.2">
      <c r="A119" s="9" t="s">
        <v>84</v>
      </c>
      <c r="B119" s="9"/>
      <c r="C119" s="14">
        <v>49844.364999999998</v>
      </c>
      <c r="D119" s="7">
        <v>6.0000000000000001E-3</v>
      </c>
      <c r="E119" s="3">
        <f t="shared" si="22"/>
        <v>2177.9990472053619</v>
      </c>
      <c r="F119" s="3">
        <f t="shared" si="23"/>
        <v>2178</v>
      </c>
      <c r="G119" s="3">
        <f t="shared" si="14"/>
        <v>-1.9269999975222163E-3</v>
      </c>
      <c r="I119" s="3">
        <f>G119</f>
        <v>-1.9269999975222163E-3</v>
      </c>
      <c r="O119" s="3">
        <f t="shared" ca="1" si="21"/>
        <v>-3.8249566176633401E-2</v>
      </c>
      <c r="P119" s="3">
        <f t="shared" si="24"/>
        <v>2.6140687546713295E-3</v>
      </c>
      <c r="Q119" s="5">
        <f t="shared" si="25"/>
        <v>34825.864999999998</v>
      </c>
      <c r="R119" s="5"/>
      <c r="S119" s="3">
        <f t="shared" si="26"/>
        <v>2.0621305412148647E-5</v>
      </c>
      <c r="AB119" s="3" t="s">
        <v>31</v>
      </c>
      <c r="AC119" s="3">
        <v>5</v>
      </c>
      <c r="AE119" s="3" t="s">
        <v>36</v>
      </c>
      <c r="AG119" s="3" t="s">
        <v>30</v>
      </c>
    </row>
    <row r="120" spans="1:33" s="3" customFormat="1" ht="12.95" customHeight="1" x14ac:dyDescent="0.2">
      <c r="A120" s="9" t="s">
        <v>85</v>
      </c>
      <c r="B120" s="9"/>
      <c r="C120" s="14">
        <v>50570.423000000003</v>
      </c>
      <c r="D120" s="7">
        <v>4.0000000000000001E-3</v>
      </c>
      <c r="E120" s="3">
        <f t="shared" si="22"/>
        <v>2536.9944644461016</v>
      </c>
      <c r="F120" s="3">
        <f t="shared" si="23"/>
        <v>2537</v>
      </c>
      <c r="G120" s="3">
        <f t="shared" si="14"/>
        <v>-1.1195499995665159E-2</v>
      </c>
      <c r="I120" s="3">
        <f>G120</f>
        <v>-1.1195499995665159E-2</v>
      </c>
      <c r="O120" s="3">
        <f t="shared" ca="1" si="21"/>
        <v>-3.2024270593640762E-2</v>
      </c>
      <c r="P120" s="3">
        <f t="shared" si="24"/>
        <v>-3.3376543142625559E-4</v>
      </c>
      <c r="Q120" s="5">
        <f t="shared" si="25"/>
        <v>35551.923000000003</v>
      </c>
      <c r="R120" s="5"/>
      <c r="S120" s="3">
        <f t="shared" si="26"/>
        <v>1.1797727774398208E-4</v>
      </c>
      <c r="AB120" s="3" t="s">
        <v>31</v>
      </c>
      <c r="AC120" s="3">
        <v>9</v>
      </c>
      <c r="AE120" s="3" t="s">
        <v>36</v>
      </c>
      <c r="AG120" s="3" t="s">
        <v>30</v>
      </c>
    </row>
    <row r="121" spans="1:33" s="3" customFormat="1" ht="12.95" customHeight="1" x14ac:dyDescent="0.2">
      <c r="A121" s="9" t="s">
        <v>114</v>
      </c>
      <c r="B121" s="16"/>
      <c r="C121" s="14">
        <v>50586.614000000001</v>
      </c>
      <c r="D121" s="14">
        <v>1.0002</v>
      </c>
      <c r="E121" s="9">
        <f t="shared" si="22"/>
        <v>2545.000016069449</v>
      </c>
      <c r="F121" s="3">
        <f t="shared" si="23"/>
        <v>2545</v>
      </c>
      <c r="G121" s="3">
        <f t="shared" si="14"/>
        <v>3.2500000088475645E-5</v>
      </c>
      <c r="H121" s="7"/>
      <c r="I121" s="3">
        <f>G121</f>
        <v>3.2500000088475645E-5</v>
      </c>
      <c r="J121" s="4"/>
      <c r="O121" s="3">
        <f t="shared" ca="1" si="21"/>
        <v>-3.1885545343880481E-2</v>
      </c>
      <c r="P121" s="3">
        <f t="shared" si="24"/>
        <v>-4.089993702364042E-4</v>
      </c>
      <c r="Q121" s="5">
        <f t="shared" si="25"/>
        <v>35568.114000000001</v>
      </c>
      <c r="R121" s="5"/>
      <c r="S121" s="3">
        <f t="shared" si="26"/>
        <v>1.9492169399726539E-7</v>
      </c>
    </row>
    <row r="122" spans="1:33" s="3" customFormat="1" ht="12.95" customHeight="1" x14ac:dyDescent="0.2">
      <c r="A122" s="9" t="s">
        <v>86</v>
      </c>
      <c r="B122" s="9"/>
      <c r="C122" s="14">
        <v>50849.529300000002</v>
      </c>
      <c r="D122" s="7">
        <v>2.8E-3</v>
      </c>
      <c r="E122" s="3">
        <f t="shared" si="22"/>
        <v>2674.9970518744035</v>
      </c>
      <c r="F122" s="3">
        <f t="shared" si="23"/>
        <v>2675</v>
      </c>
      <c r="G122" s="3">
        <f t="shared" si="14"/>
        <v>-5.9624999994412065E-3</v>
      </c>
      <c r="I122" s="3">
        <f>G122</f>
        <v>-5.9624999994412065E-3</v>
      </c>
      <c r="O122" s="3">
        <f t="shared" ca="1" si="21"/>
        <v>-2.96312600352759E-2</v>
      </c>
      <c r="P122" s="3">
        <f t="shared" si="24"/>
        <v>-1.6898683441567662E-3</v>
      </c>
      <c r="Q122" s="5">
        <f t="shared" si="25"/>
        <v>35831.029300000002</v>
      </c>
      <c r="R122" s="5"/>
      <c r="S122" s="3">
        <f t="shared" si="26"/>
        <v>1.8255381261738655E-5</v>
      </c>
    </row>
    <row r="123" spans="1:33" s="3" customFormat="1" ht="12.95" customHeight="1" x14ac:dyDescent="0.2">
      <c r="A123" s="31" t="s">
        <v>443</v>
      </c>
      <c r="B123" s="32" t="s">
        <v>92</v>
      </c>
      <c r="C123" s="33">
        <v>51658.513599999998</v>
      </c>
      <c r="E123" s="9">
        <f t="shared" si="22"/>
        <v>3074.9949257628596</v>
      </c>
      <c r="F123" s="3">
        <f t="shared" si="23"/>
        <v>3075</v>
      </c>
      <c r="G123" s="3">
        <f t="shared" si="14"/>
        <v>-1.0262499999953434E-2</v>
      </c>
      <c r="H123" s="7"/>
      <c r="I123" s="4"/>
      <c r="J123" s="4"/>
      <c r="K123" s="3">
        <f>G123</f>
        <v>-1.0262499999953434E-2</v>
      </c>
      <c r="O123" s="3">
        <f t="shared" ca="1" si="21"/>
        <v>-2.2694997547261821E-2</v>
      </c>
      <c r="P123" s="3">
        <f t="shared" si="24"/>
        <v>-6.3201509880006709E-3</v>
      </c>
      <c r="Q123" s="5">
        <f t="shared" si="25"/>
        <v>36640.013599999998</v>
      </c>
      <c r="R123" s="5"/>
      <c r="S123" s="3">
        <f t="shared" si="26"/>
        <v>1.5542115732044927E-5</v>
      </c>
    </row>
    <row r="124" spans="1:33" s="3" customFormat="1" ht="12.95" customHeight="1" x14ac:dyDescent="0.2">
      <c r="A124" s="9" t="s">
        <v>27</v>
      </c>
      <c r="B124" s="14"/>
      <c r="C124" s="14">
        <v>52368.400199999996</v>
      </c>
      <c r="D124" s="7">
        <v>1E-4</v>
      </c>
      <c r="E124" s="3">
        <f t="shared" si="22"/>
        <v>3425.9944824933245</v>
      </c>
      <c r="F124" s="3">
        <f t="shared" si="23"/>
        <v>3426</v>
      </c>
      <c r="G124" s="3">
        <f t="shared" si="14"/>
        <v>-1.1159000001498498E-2</v>
      </c>
      <c r="H124" s="7"/>
      <c r="I124" s="8"/>
      <c r="J124" s="3">
        <f>G124</f>
        <v>-1.1159000001498498E-2</v>
      </c>
      <c r="O124" s="3">
        <f t="shared" ca="1" si="21"/>
        <v>-1.6608427214029463E-2</v>
      </c>
      <c r="P124" s="3">
        <f t="shared" si="24"/>
        <v>-1.1240110460014122E-2</v>
      </c>
      <c r="Q124" s="5">
        <f t="shared" si="25"/>
        <v>37349.900199999996</v>
      </c>
      <c r="R124" s="5" t="s">
        <v>121</v>
      </c>
      <c r="S124" s="3">
        <f t="shared" si="26"/>
        <v>6.5789064806146961E-9</v>
      </c>
    </row>
    <row r="125" spans="1:33" s="3" customFormat="1" ht="12.95" customHeight="1" x14ac:dyDescent="0.2">
      <c r="A125" s="9" t="s">
        <v>27</v>
      </c>
      <c r="B125" s="10"/>
      <c r="C125" s="14">
        <v>52372.444499999998</v>
      </c>
      <c r="D125" s="14">
        <v>1E-4</v>
      </c>
      <c r="E125" s="3">
        <f t="shared" si="22"/>
        <v>3427.9941645654826</v>
      </c>
      <c r="F125" s="3">
        <f t="shared" si="23"/>
        <v>3428</v>
      </c>
      <c r="G125" s="3">
        <f t="shared" si="14"/>
        <v>-1.1802000000898261E-2</v>
      </c>
      <c r="H125" s="7"/>
      <c r="I125" s="4"/>
      <c r="J125" s="3">
        <f>G125</f>
        <v>-1.1802000000898261E-2</v>
      </c>
      <c r="O125" s="3">
        <f t="shared" ca="1" si="21"/>
        <v>-1.6573745901589394E-2</v>
      </c>
      <c r="P125" s="3">
        <f t="shared" si="24"/>
        <v>-1.1270439407787856E-2</v>
      </c>
      <c r="Q125" s="5">
        <f t="shared" si="25"/>
        <v>37353.944499999998</v>
      </c>
      <c r="R125" s="5" t="s">
        <v>121</v>
      </c>
      <c r="S125" s="3">
        <f t="shared" si="26"/>
        <v>2.8255666414788542E-7</v>
      </c>
    </row>
    <row r="126" spans="1:33" s="3" customFormat="1" ht="12.95" customHeight="1" x14ac:dyDescent="0.2">
      <c r="A126" s="9" t="s">
        <v>27</v>
      </c>
      <c r="B126" s="10"/>
      <c r="C126" s="14">
        <v>52730.424200000001</v>
      </c>
      <c r="D126" s="14">
        <v>4.0000000000000002E-4</v>
      </c>
      <c r="E126" s="3">
        <f t="shared" si="22"/>
        <v>3604.995274346265</v>
      </c>
      <c r="F126" s="3">
        <f t="shared" si="23"/>
        <v>3605</v>
      </c>
      <c r="G126" s="3">
        <f t="shared" si="14"/>
        <v>-9.5574999941163696E-3</v>
      </c>
      <c r="H126" s="7"/>
      <c r="I126" s="4"/>
      <c r="J126" s="3">
        <f>G126</f>
        <v>-9.5574999941163696E-3</v>
      </c>
      <c r="O126" s="3">
        <f t="shared" ca="1" si="21"/>
        <v>-1.350444975064316E-2</v>
      </c>
      <c r="P126" s="3">
        <f t="shared" si="24"/>
        <v>-1.4057543055369874E-2</v>
      </c>
      <c r="Q126" s="5">
        <f t="shared" si="25"/>
        <v>37711.924200000001</v>
      </c>
      <c r="R126" s="5" t="s">
        <v>121</v>
      </c>
      <c r="S126" s="3">
        <f t="shared" si="26"/>
        <v>2.0250387553135811E-5</v>
      </c>
    </row>
    <row r="127" spans="1:33" s="3" customFormat="1" ht="12.95" customHeight="1" x14ac:dyDescent="0.2">
      <c r="A127" s="66" t="s">
        <v>96</v>
      </c>
      <c r="B127" s="67" t="s">
        <v>92</v>
      </c>
      <c r="C127" s="66">
        <v>52997.312660000003</v>
      </c>
      <c r="D127" s="66" t="s">
        <v>97</v>
      </c>
      <c r="E127" s="3">
        <f t="shared" si="22"/>
        <v>3736.9568174384681</v>
      </c>
      <c r="F127" s="3">
        <f t="shared" si="23"/>
        <v>3737</v>
      </c>
      <c r="H127" s="7"/>
      <c r="I127" s="4"/>
      <c r="J127" s="4"/>
      <c r="O127" s="3">
        <f t="shared" ca="1" si="21"/>
        <v>-1.1215483129598511E-2</v>
      </c>
      <c r="P127" s="3">
        <f t="shared" si="24"/>
        <v>-1.6268650377396533E-2</v>
      </c>
      <c r="Q127" s="5">
        <f t="shared" si="25"/>
        <v>37978.812660000003</v>
      </c>
      <c r="R127" s="5" t="s">
        <v>579</v>
      </c>
      <c r="S127" s="3">
        <f t="shared" si="26"/>
        <v>2.6466898510196438E-4</v>
      </c>
      <c r="V127" s="6">
        <v>-8.7335499993059784E-2</v>
      </c>
    </row>
    <row r="128" spans="1:33" s="3" customFormat="1" ht="12.95" customHeight="1" x14ac:dyDescent="0.2">
      <c r="A128" s="9" t="s">
        <v>88</v>
      </c>
      <c r="B128" s="10"/>
      <c r="C128" s="13">
        <v>53094.472900000001</v>
      </c>
      <c r="D128" s="13">
        <v>5.0000000000000001E-4</v>
      </c>
      <c r="E128" s="3">
        <f t="shared" si="22"/>
        <v>3784.9971680688709</v>
      </c>
      <c r="F128" s="3">
        <f t="shared" si="23"/>
        <v>3785</v>
      </c>
      <c r="G128" s="3">
        <f t="shared" ref="G128:G147" si="27">+C128-(C$7+F128*C$8)</f>
        <v>-5.7274999999208376E-3</v>
      </c>
      <c r="H128" s="7"/>
      <c r="I128" s="4"/>
      <c r="J128" s="4"/>
      <c r="K128" s="3">
        <f t="shared" ref="K128:K135" si="28">G128</f>
        <v>-5.7274999999208376E-3</v>
      </c>
      <c r="O128" s="3">
        <f t="shared" ca="1" si="21"/>
        <v>-1.0383131631036824E-2</v>
      </c>
      <c r="P128" s="3">
        <f t="shared" si="24"/>
        <v>-1.7100775408366586E-2</v>
      </c>
      <c r="Q128" s="5">
        <f t="shared" si="25"/>
        <v>38075.972900000001</v>
      </c>
      <c r="R128" s="5" t="s">
        <v>121</v>
      </c>
      <c r="S128" s="3">
        <f t="shared" si="26"/>
        <v>1.293513935163568E-4</v>
      </c>
    </row>
    <row r="129" spans="1:19" s="3" customFormat="1" ht="12.95" customHeight="1" x14ac:dyDescent="0.2">
      <c r="A129" s="9" t="s">
        <v>91</v>
      </c>
      <c r="B129" s="11" t="s">
        <v>92</v>
      </c>
      <c r="C129" s="12">
        <v>53405.933599999997</v>
      </c>
      <c r="D129" s="13">
        <v>2.5999999999999999E-3</v>
      </c>
      <c r="E129" s="3">
        <f t="shared" si="22"/>
        <v>3938.9972120744337</v>
      </c>
      <c r="F129" s="3">
        <f t="shared" si="23"/>
        <v>3939</v>
      </c>
      <c r="G129" s="3">
        <f t="shared" si="27"/>
        <v>-5.6384999988949858E-3</v>
      </c>
      <c r="H129" s="7"/>
      <c r="I129" s="4"/>
      <c r="J129" s="4"/>
      <c r="K129" s="3">
        <f t="shared" si="28"/>
        <v>-5.6384999988949858E-3</v>
      </c>
      <c r="O129" s="3">
        <f t="shared" ca="1" si="21"/>
        <v>-7.7126705731514061E-3</v>
      </c>
      <c r="P129" s="3">
        <f t="shared" si="24"/>
        <v>-1.9871632502711602E-2</v>
      </c>
      <c r="Q129" s="5">
        <f t="shared" si="25"/>
        <v>38387.433599999997</v>
      </c>
      <c r="R129" s="5" t="s">
        <v>119</v>
      </c>
      <c r="S129" s="3">
        <f t="shared" si="26"/>
        <v>2.0258206087120104E-4</v>
      </c>
    </row>
    <row r="130" spans="1:19" s="3" customFormat="1" ht="12.95" customHeight="1" x14ac:dyDescent="0.2">
      <c r="A130" s="9" t="s">
        <v>91</v>
      </c>
      <c r="B130" s="11" t="s">
        <v>92</v>
      </c>
      <c r="C130" s="12">
        <v>53405.933599999997</v>
      </c>
      <c r="D130" s="12">
        <v>2.5999999999999999E-3</v>
      </c>
      <c r="E130" s="3">
        <f t="shared" si="22"/>
        <v>3938.9972120744337</v>
      </c>
      <c r="F130" s="3">
        <f t="shared" si="23"/>
        <v>3939</v>
      </c>
      <c r="G130" s="3">
        <f t="shared" si="27"/>
        <v>-5.6384999988949858E-3</v>
      </c>
      <c r="H130" s="7"/>
      <c r="I130" s="4"/>
      <c r="J130" s="4"/>
      <c r="K130" s="3">
        <f t="shared" si="28"/>
        <v>-5.6384999988949858E-3</v>
      </c>
      <c r="O130" s="3">
        <f t="shared" ca="1" si="21"/>
        <v>-7.7126705731514061E-3</v>
      </c>
      <c r="P130" s="3">
        <f t="shared" si="24"/>
        <v>-1.9871632502711602E-2</v>
      </c>
      <c r="Q130" s="5">
        <f t="shared" si="25"/>
        <v>38387.433599999997</v>
      </c>
      <c r="R130" s="5" t="s">
        <v>119</v>
      </c>
      <c r="S130" s="3">
        <f t="shared" si="26"/>
        <v>2.0258206087120104E-4</v>
      </c>
    </row>
    <row r="131" spans="1:19" s="3" customFormat="1" ht="12.95" customHeight="1" x14ac:dyDescent="0.2">
      <c r="A131" s="31" t="s">
        <v>500</v>
      </c>
      <c r="B131" s="32" t="s">
        <v>92</v>
      </c>
      <c r="C131" s="33">
        <v>53428.182000000001</v>
      </c>
      <c r="E131" s="9">
        <f t="shared" si="22"/>
        <v>3949.9978120828905</v>
      </c>
      <c r="F131" s="3">
        <f t="shared" si="23"/>
        <v>3950</v>
      </c>
      <c r="G131" s="3">
        <f t="shared" si="27"/>
        <v>-4.4249999991734512E-3</v>
      </c>
      <c r="H131" s="7"/>
      <c r="I131" s="4"/>
      <c r="J131" s="4"/>
      <c r="K131" s="3">
        <f t="shared" si="28"/>
        <v>-4.4249999991734512E-3</v>
      </c>
      <c r="O131" s="3">
        <f t="shared" ca="1" si="21"/>
        <v>-7.5219233547310221E-3</v>
      </c>
      <c r="P131" s="3">
        <f t="shared" si="24"/>
        <v>-2.0075450878013882E-2</v>
      </c>
      <c r="Q131" s="5">
        <f t="shared" si="25"/>
        <v>38409.682000000001</v>
      </c>
      <c r="R131" s="5" t="s">
        <v>119</v>
      </c>
      <c r="S131" s="3">
        <f t="shared" si="26"/>
        <v>2.4493661271099719E-4</v>
      </c>
    </row>
    <row r="132" spans="1:19" s="3" customFormat="1" ht="12.95" customHeight="1" x14ac:dyDescent="0.2">
      <c r="A132" s="31" t="s">
        <v>500</v>
      </c>
      <c r="B132" s="32" t="s">
        <v>92</v>
      </c>
      <c r="C132" s="33">
        <v>53711.3295</v>
      </c>
      <c r="E132" s="9">
        <f t="shared" si="22"/>
        <v>4089.9985488052616</v>
      </c>
      <c r="F132" s="3">
        <f t="shared" si="23"/>
        <v>4090</v>
      </c>
      <c r="G132" s="3">
        <f t="shared" si="27"/>
        <v>-2.9349999967962503E-3</v>
      </c>
      <c r="H132" s="7"/>
      <c r="I132" s="4"/>
      <c r="J132" s="4"/>
      <c r="K132" s="3">
        <f t="shared" si="28"/>
        <v>-2.9349999967962503E-3</v>
      </c>
      <c r="O132" s="3">
        <f t="shared" ca="1" si="21"/>
        <v>-5.0942314839260844E-3</v>
      </c>
      <c r="P132" s="3">
        <f t="shared" si="24"/>
        <v>-2.2738222619563132E-2</v>
      </c>
      <c r="Q132" s="5">
        <f t="shared" si="25"/>
        <v>38692.8295</v>
      </c>
      <c r="R132" s="5" t="s">
        <v>119</v>
      </c>
      <c r="S132" s="3">
        <f t="shared" si="26"/>
        <v>3.9216762624686601E-4</v>
      </c>
    </row>
    <row r="133" spans="1:19" s="3" customFormat="1" ht="12.95" customHeight="1" x14ac:dyDescent="0.2">
      <c r="A133" s="31" t="s">
        <v>510</v>
      </c>
      <c r="B133" s="32" t="s">
        <v>92</v>
      </c>
      <c r="C133" s="33">
        <v>53767.955999999998</v>
      </c>
      <c r="E133" s="9">
        <f t="shared" si="22"/>
        <v>4117.9972128161007</v>
      </c>
      <c r="F133" s="3">
        <f t="shared" si="23"/>
        <v>4118</v>
      </c>
      <c r="G133" s="3">
        <f t="shared" si="27"/>
        <v>-5.6370000020251609E-3</v>
      </c>
      <c r="H133" s="7"/>
      <c r="I133" s="4"/>
      <c r="J133" s="4"/>
      <c r="K133" s="3">
        <f t="shared" si="28"/>
        <v>-5.6370000020251609E-3</v>
      </c>
      <c r="O133" s="3">
        <f t="shared" ca="1" si="21"/>
        <v>-4.6086931097651107E-3</v>
      </c>
      <c r="P133" s="3">
        <f t="shared" si="24"/>
        <v>-2.32860682371413E-2</v>
      </c>
      <c r="Q133" s="5">
        <f t="shared" si="25"/>
        <v>38749.455999999998</v>
      </c>
      <c r="R133" s="5" t="s">
        <v>119</v>
      </c>
      <c r="S133" s="3">
        <f t="shared" si="26"/>
        <v>3.1148960956778549E-4</v>
      </c>
    </row>
    <row r="134" spans="1:19" s="3" customFormat="1" ht="12.95" customHeight="1" x14ac:dyDescent="0.2">
      <c r="A134" s="31" t="s">
        <v>510</v>
      </c>
      <c r="B134" s="32" t="s">
        <v>92</v>
      </c>
      <c r="C134" s="33">
        <v>53767.959000000003</v>
      </c>
      <c r="E134" s="9">
        <f t="shared" si="22"/>
        <v>4117.998696149737</v>
      </c>
      <c r="F134" s="3">
        <f t="shared" si="23"/>
        <v>4118</v>
      </c>
      <c r="G134" s="3">
        <f t="shared" si="27"/>
        <v>-2.6369999977760017E-3</v>
      </c>
      <c r="H134" s="7"/>
      <c r="I134" s="4"/>
      <c r="J134" s="4"/>
      <c r="K134" s="3">
        <f t="shared" si="28"/>
        <v>-2.6369999977760017E-3</v>
      </c>
      <c r="O134" s="3">
        <f t="shared" ca="1" si="21"/>
        <v>-4.6086931097651107E-3</v>
      </c>
      <c r="P134" s="3">
        <f t="shared" si="24"/>
        <v>-2.32860682371413E-2</v>
      </c>
      <c r="Q134" s="5">
        <f t="shared" si="25"/>
        <v>38749.459000000003</v>
      </c>
      <c r="R134" s="5" t="s">
        <v>119</v>
      </c>
      <c r="S134" s="3">
        <f t="shared" si="26"/>
        <v>4.2638401915396469E-4</v>
      </c>
    </row>
    <row r="135" spans="1:19" s="3" customFormat="1" ht="12.95" customHeight="1" x14ac:dyDescent="0.2">
      <c r="A135" s="12" t="s">
        <v>95</v>
      </c>
      <c r="B135" s="11" t="s">
        <v>92</v>
      </c>
      <c r="C135" s="12">
        <v>54166.388299999999</v>
      </c>
      <c r="D135" s="12">
        <v>2.0000000000000001E-4</v>
      </c>
      <c r="E135" s="9">
        <f t="shared" si="22"/>
        <v>4314.9998899860884</v>
      </c>
      <c r="F135" s="3">
        <f t="shared" si="23"/>
        <v>4315</v>
      </c>
      <c r="G135" s="3">
        <f t="shared" si="27"/>
        <v>-2.2249999892665073E-4</v>
      </c>
      <c r="H135" s="7"/>
      <c r="I135" s="4"/>
      <c r="J135" s="4"/>
      <c r="K135" s="3">
        <f t="shared" si="28"/>
        <v>-2.2249999892665073E-4</v>
      </c>
      <c r="O135" s="3">
        <f t="shared" ca="1" si="21"/>
        <v>-1.1925838344181705E-3</v>
      </c>
      <c r="P135" s="3">
        <f t="shared" si="24"/>
        <v>-2.7284640530866919E-2</v>
      </c>
      <c r="Q135" s="5">
        <f t="shared" si="25"/>
        <v>39147.888299999999</v>
      </c>
      <c r="R135" s="5" t="s">
        <v>119</v>
      </c>
      <c r="S135" s="3">
        <f t="shared" si="26"/>
        <v>7.3235945017048425E-4</v>
      </c>
    </row>
    <row r="136" spans="1:19" s="3" customFormat="1" ht="12.95" customHeight="1" x14ac:dyDescent="0.2">
      <c r="A136" s="14" t="s">
        <v>94</v>
      </c>
      <c r="B136" s="16" t="s">
        <v>92</v>
      </c>
      <c r="C136" s="14">
        <v>54532.457600000002</v>
      </c>
      <c r="D136" s="14">
        <v>2.9999999999999997E-4</v>
      </c>
      <c r="E136" s="9">
        <f t="shared" si="22"/>
        <v>4496.000858355731</v>
      </c>
      <c r="F136" s="3">
        <f t="shared" si="23"/>
        <v>4496</v>
      </c>
      <c r="G136" s="3">
        <f t="shared" si="27"/>
        <v>1.7359999983455054E-3</v>
      </c>
      <c r="H136" s="7"/>
      <c r="I136" s="4"/>
      <c r="J136" s="3">
        <f>G136</f>
        <v>1.7359999983455054E-3</v>
      </c>
      <c r="O136" s="3">
        <f t="shared" ca="1" si="21"/>
        <v>1.9460749414082074E-3</v>
      </c>
      <c r="P136" s="3">
        <f t="shared" si="24"/>
        <v>-3.1180861734325487E-2</v>
      </c>
      <c r="Q136" s="5">
        <f t="shared" si="25"/>
        <v>39513.957600000002</v>
      </c>
      <c r="R136" s="5" t="s">
        <v>121</v>
      </c>
      <c r="S136" s="3">
        <f t="shared" si="26"/>
        <v>1.08351978632778E-3</v>
      </c>
    </row>
    <row r="137" spans="1:19" s="3" customFormat="1" ht="12.95" customHeight="1" x14ac:dyDescent="0.2">
      <c r="A137" s="14" t="s">
        <v>99</v>
      </c>
      <c r="B137" s="16" t="s">
        <v>100</v>
      </c>
      <c r="C137" s="14">
        <v>55158.412300000004</v>
      </c>
      <c r="D137" s="14">
        <v>1.1999999999999999E-3</v>
      </c>
      <c r="E137" s="9">
        <f t="shared" si="22"/>
        <v>4805.5007450043204</v>
      </c>
      <c r="F137" s="3">
        <f t="shared" si="23"/>
        <v>4805.5</v>
      </c>
      <c r="G137" s="3">
        <f t="shared" si="27"/>
        <v>1.5067500062286854E-3</v>
      </c>
      <c r="H137" s="7"/>
      <c r="I137" s="4"/>
      <c r="J137" s="4"/>
      <c r="K137" s="3">
        <f>G137</f>
        <v>1.5067500062286854E-3</v>
      </c>
      <c r="O137" s="3">
        <f t="shared" ca="1" si="21"/>
        <v>7.3130080415090976E-3</v>
      </c>
      <c r="P137" s="3">
        <f t="shared" si="24"/>
        <v>-3.8336671926298936E-2</v>
      </c>
      <c r="Q137" s="5">
        <f t="shared" si="25"/>
        <v>40139.912300000004</v>
      </c>
      <c r="R137" s="5" t="s">
        <v>119</v>
      </c>
      <c r="S137" s="3">
        <f t="shared" si="26"/>
        <v>1.5874982712934232E-3</v>
      </c>
    </row>
    <row r="138" spans="1:19" s="3" customFormat="1" ht="12.95" customHeight="1" x14ac:dyDescent="0.2">
      <c r="A138" s="10" t="s">
        <v>110</v>
      </c>
      <c r="B138" s="11" t="s">
        <v>92</v>
      </c>
      <c r="C138" s="12">
        <v>55329.316700000003</v>
      </c>
      <c r="D138" s="12">
        <v>4.0000000000000002E-4</v>
      </c>
      <c r="E138" s="9">
        <f t="shared" si="22"/>
        <v>4890.0034932507106</v>
      </c>
      <c r="F138" s="3">
        <f t="shared" si="23"/>
        <v>4890</v>
      </c>
      <c r="G138" s="3">
        <f t="shared" si="27"/>
        <v>7.0650000052410178E-3</v>
      </c>
      <c r="H138" s="7"/>
      <c r="I138" s="4"/>
      <c r="J138" s="4"/>
      <c r="K138" s="3">
        <f>G138</f>
        <v>7.0650000052410178E-3</v>
      </c>
      <c r="O138" s="3">
        <f t="shared" ca="1" si="21"/>
        <v>8.7782934921020739E-3</v>
      </c>
      <c r="P138" s="3">
        <f t="shared" si="24"/>
        <v>-4.0398583780834323E-2</v>
      </c>
      <c r="Q138" s="5">
        <f t="shared" si="25"/>
        <v>40310.816700000003</v>
      </c>
      <c r="R138" s="5" t="s">
        <v>119</v>
      </c>
      <c r="S138" s="3">
        <f t="shared" si="26"/>
        <v>2.2527917858177937E-3</v>
      </c>
    </row>
    <row r="139" spans="1:19" s="3" customFormat="1" ht="12.95" customHeight="1" x14ac:dyDescent="0.2">
      <c r="A139" s="9" t="s">
        <v>111</v>
      </c>
      <c r="B139" s="16" t="s">
        <v>92</v>
      </c>
      <c r="C139" s="14">
        <v>55559.881399999998</v>
      </c>
      <c r="D139" s="14">
        <v>2.9999999999999997E-4</v>
      </c>
      <c r="E139" s="9">
        <f t="shared" si="22"/>
        <v>5004.0049513676704</v>
      </c>
      <c r="F139" s="3">
        <f t="shared" si="23"/>
        <v>5004</v>
      </c>
      <c r="G139" s="3">
        <f t="shared" si="27"/>
        <v>1.0013999999500811E-2</v>
      </c>
      <c r="H139" s="7"/>
      <c r="I139" s="4"/>
      <c r="J139" s="4"/>
      <c r="K139" s="3">
        <f>G139</f>
        <v>1.0013999999500811E-2</v>
      </c>
      <c r="O139" s="3">
        <f t="shared" ca="1" si="21"/>
        <v>1.0755128301186093E-2</v>
      </c>
      <c r="P139" s="3">
        <f t="shared" si="24"/>
        <v>-4.3253894662276721E-2</v>
      </c>
      <c r="Q139" s="5">
        <f t="shared" si="25"/>
        <v>40541.381399999998</v>
      </c>
      <c r="R139" s="5" t="s">
        <v>578</v>
      </c>
      <c r="S139" s="3">
        <f t="shared" si="26"/>
        <v>2.8374686016982274E-3</v>
      </c>
    </row>
    <row r="140" spans="1:19" s="3" customFormat="1" ht="12.95" customHeight="1" x14ac:dyDescent="0.2">
      <c r="A140" s="31" t="s">
        <v>548</v>
      </c>
      <c r="B140" s="32" t="s">
        <v>92</v>
      </c>
      <c r="C140" s="33">
        <v>55582.129099999998</v>
      </c>
      <c r="E140" s="9">
        <f t="shared" si="22"/>
        <v>5015.0052052649444</v>
      </c>
      <c r="F140" s="3">
        <f t="shared" si="23"/>
        <v>5015</v>
      </c>
      <c r="G140" s="3">
        <f t="shared" si="27"/>
        <v>1.0527500002353918E-2</v>
      </c>
      <c r="H140" s="7"/>
      <c r="I140" s="4"/>
      <c r="J140" s="4"/>
      <c r="K140" s="3">
        <f>G140</f>
        <v>1.0527500002353918E-2</v>
      </c>
      <c r="O140" s="3">
        <f t="shared" ca="1" si="21"/>
        <v>1.0945875519606477E-2</v>
      </c>
      <c r="P140" s="3">
        <f t="shared" si="24"/>
        <v>-4.3533876821370818E-2</v>
      </c>
      <c r="Q140" s="5">
        <f t="shared" si="25"/>
        <v>40563.629099999998</v>
      </c>
      <c r="R140" s="5" t="s">
        <v>119</v>
      </c>
      <c r="S140" s="3">
        <f t="shared" si="26"/>
        <v>2.9226324640767619E-3</v>
      </c>
    </row>
    <row r="141" spans="1:19" s="3" customFormat="1" ht="12.95" customHeight="1" x14ac:dyDescent="0.2">
      <c r="A141" s="31" t="s">
        <v>554</v>
      </c>
      <c r="B141" s="32" t="s">
        <v>92</v>
      </c>
      <c r="C141" s="33">
        <v>55618.534299999999</v>
      </c>
      <c r="E141" s="9">
        <f t="shared" si="22"/>
        <v>5033.0055578039046</v>
      </c>
      <c r="F141" s="3">
        <f t="shared" si="23"/>
        <v>5033</v>
      </c>
      <c r="G141" s="3">
        <f t="shared" si="27"/>
        <v>1.1240499996347353E-2</v>
      </c>
      <c r="H141" s="7"/>
      <c r="I141" s="4"/>
      <c r="J141" s="4"/>
      <c r="K141" s="3">
        <f>G141</f>
        <v>1.1240499996347353E-2</v>
      </c>
      <c r="O141" s="3">
        <f t="shared" ca="1" si="21"/>
        <v>1.1258007331567108E-2</v>
      </c>
      <c r="P141" s="3">
        <f t="shared" si="24"/>
        <v>-4.3993726308131684E-2</v>
      </c>
      <c r="Q141" s="5">
        <f t="shared" si="25"/>
        <v>40600.034299999999</v>
      </c>
      <c r="R141" s="5"/>
      <c r="S141" s="3">
        <f t="shared" si="26"/>
        <v>3.0508197554544041E-3</v>
      </c>
    </row>
    <row r="142" spans="1:19" s="3" customFormat="1" ht="12.95" customHeight="1" x14ac:dyDescent="0.2">
      <c r="A142" s="14" t="s">
        <v>112</v>
      </c>
      <c r="B142" s="16" t="s">
        <v>92</v>
      </c>
      <c r="C142" s="14">
        <v>55622.580199999997</v>
      </c>
      <c r="D142" s="14">
        <v>4.7999999999999996E-3</v>
      </c>
      <c r="E142" s="9">
        <f t="shared" si="22"/>
        <v>5035.0060309873334</v>
      </c>
      <c r="F142" s="3">
        <f t="shared" si="23"/>
        <v>5035</v>
      </c>
      <c r="G142" s="3">
        <f t="shared" si="27"/>
        <v>1.2197500000183936E-2</v>
      </c>
      <c r="H142" s="7"/>
      <c r="I142" s="4"/>
      <c r="J142" s="3">
        <f>G142</f>
        <v>1.2197500000183936E-2</v>
      </c>
      <c r="O142" s="3">
        <f t="shared" ca="1" si="21"/>
        <v>1.1292688644007176E-2</v>
      </c>
      <c r="P142" s="3">
        <f t="shared" si="24"/>
        <v>-4.4044950723349456E-2</v>
      </c>
      <c r="Q142" s="5">
        <f t="shared" si="25"/>
        <v>40604.080199999997</v>
      </c>
      <c r="R142" s="5" t="s">
        <v>121</v>
      </c>
      <c r="S142" s="3">
        <f t="shared" si="26"/>
        <v>3.1632132633890816E-3</v>
      </c>
    </row>
    <row r="143" spans="1:19" s="3" customFormat="1" ht="12.95" customHeight="1" x14ac:dyDescent="0.2">
      <c r="A143" s="31" t="s">
        <v>563</v>
      </c>
      <c r="B143" s="32" t="s">
        <v>92</v>
      </c>
      <c r="C143" s="33">
        <v>55954.270100000002</v>
      </c>
      <c r="E143" s="9">
        <f t="shared" si="22"/>
        <v>5199.0082925766828</v>
      </c>
      <c r="F143" s="3">
        <f t="shared" si="23"/>
        <v>5199</v>
      </c>
      <c r="G143" s="3">
        <f t="shared" si="27"/>
        <v>1.6771500006143469E-2</v>
      </c>
      <c r="H143" s="7"/>
      <c r="I143" s="4"/>
      <c r="J143" s="4"/>
      <c r="K143" s="3">
        <f>G143</f>
        <v>1.6771500006143469E-2</v>
      </c>
      <c r="O143" s="3">
        <f t="shared" ca="1" si="21"/>
        <v>1.413655626409295E-2</v>
      </c>
      <c r="P143" s="3">
        <f t="shared" si="24"/>
        <v>-4.8333849691819371E-2</v>
      </c>
      <c r="Q143" s="5">
        <f t="shared" si="25"/>
        <v>40935.770100000002</v>
      </c>
      <c r="R143" s="5" t="s">
        <v>119</v>
      </c>
      <c r="S143" s="3">
        <f t="shared" si="26"/>
        <v>4.2387065592940296E-3</v>
      </c>
    </row>
    <row r="144" spans="1:19" s="3" customFormat="1" ht="12.95" customHeight="1" x14ac:dyDescent="0.2">
      <c r="A144" s="14" t="s">
        <v>113</v>
      </c>
      <c r="B144" s="16" t="s">
        <v>92</v>
      </c>
      <c r="C144" s="14">
        <v>55990.674200000001</v>
      </c>
      <c r="D144" s="14">
        <v>2.0000000000000001E-4</v>
      </c>
      <c r="E144" s="9">
        <f t="shared" si="22"/>
        <v>5217.0081012266437</v>
      </c>
      <c r="F144" s="3">
        <f t="shared" si="23"/>
        <v>5217</v>
      </c>
      <c r="G144" s="3">
        <f t="shared" si="27"/>
        <v>1.6384499998821411E-2</v>
      </c>
      <c r="H144" s="7"/>
      <c r="I144" s="4"/>
      <c r="J144" s="4"/>
      <c r="K144" s="3">
        <f>G144</f>
        <v>1.6384499998821411E-2</v>
      </c>
      <c r="O144" s="3">
        <f t="shared" ca="1" si="21"/>
        <v>1.4448688076053581E-2</v>
      </c>
      <c r="P144" s="3">
        <f t="shared" si="24"/>
        <v>-4.8815231782243777E-2</v>
      </c>
      <c r="Q144" s="5">
        <f t="shared" si="25"/>
        <v>40972.174200000001</v>
      </c>
      <c r="R144" s="5" t="s">
        <v>119</v>
      </c>
      <c r="S144" s="3">
        <f t="shared" si="26"/>
        <v>4.2510050243228428E-3</v>
      </c>
    </row>
    <row r="145" spans="1:19" s="3" customFormat="1" ht="12.95" customHeight="1" x14ac:dyDescent="0.2">
      <c r="A145" s="68" t="s">
        <v>115</v>
      </c>
      <c r="B145" s="69" t="s">
        <v>92</v>
      </c>
      <c r="C145" s="70">
        <v>56690.453500000003</v>
      </c>
      <c r="D145" s="71">
        <v>4.1999999999999997E-3</v>
      </c>
      <c r="E145" s="9">
        <f t="shared" si="22"/>
        <v>5563.0101586103956</v>
      </c>
      <c r="F145" s="3">
        <f t="shared" si="23"/>
        <v>5563</v>
      </c>
      <c r="G145" s="3">
        <f t="shared" si="27"/>
        <v>2.0545500003208872E-2</v>
      </c>
      <c r="H145" s="7"/>
      <c r="I145" s="4"/>
      <c r="J145" s="3">
        <f>G145</f>
        <v>2.0545500003208872E-2</v>
      </c>
      <c r="O145" s="3">
        <f t="shared" ca="1" si="21"/>
        <v>2.0448555128185761E-2</v>
      </c>
      <c r="P145" s="3">
        <f t="shared" si="24"/>
        <v>-5.8477870828947023E-2</v>
      </c>
      <c r="Q145" s="5">
        <f t="shared" si="25"/>
        <v>41671.953500000003</v>
      </c>
      <c r="R145" s="5" t="s">
        <v>121</v>
      </c>
      <c r="S145" s="3">
        <f t="shared" si="26"/>
        <v>6.2446931376764275E-3</v>
      </c>
    </row>
    <row r="146" spans="1:19" s="3" customFormat="1" ht="12.95" customHeight="1" x14ac:dyDescent="0.2">
      <c r="A146" s="72" t="s">
        <v>116</v>
      </c>
      <c r="B146" s="73"/>
      <c r="C146" s="72">
        <v>57056.525199999996</v>
      </c>
      <c r="D146" s="72">
        <v>1.4999999999999999E-2</v>
      </c>
      <c r="E146" s="9">
        <f t="shared" si="22"/>
        <v>5744.0123136469401</v>
      </c>
      <c r="F146" s="3">
        <f t="shared" si="23"/>
        <v>5744</v>
      </c>
      <c r="G146" s="3">
        <f t="shared" si="27"/>
        <v>2.4903999998059589E-2</v>
      </c>
      <c r="H146" s="7"/>
      <c r="I146" s="4"/>
      <c r="J146" s="3">
        <f>G146</f>
        <v>2.4903999998059589E-2</v>
      </c>
      <c r="O146" s="3">
        <f t="shared" ca="1" si="21"/>
        <v>2.3587213904012139E-2</v>
      </c>
      <c r="P146" s="3">
        <f t="shared" si="24"/>
        <v>-6.384267801560374E-2</v>
      </c>
      <c r="Q146" s="5">
        <f t="shared" si="25"/>
        <v>42038.025199999996</v>
      </c>
      <c r="R146" s="5" t="s">
        <v>121</v>
      </c>
      <c r="S146" s="3">
        <f t="shared" si="26"/>
        <v>7.8759728584608339E-3</v>
      </c>
    </row>
    <row r="147" spans="1:19" s="3" customFormat="1" ht="12.95" customHeight="1" x14ac:dyDescent="0.2">
      <c r="A147" s="74" t="s">
        <v>576</v>
      </c>
      <c r="B147" s="75" t="s">
        <v>92</v>
      </c>
      <c r="C147" s="74">
        <v>57376.0772</v>
      </c>
      <c r="D147" s="74" t="s">
        <v>546</v>
      </c>
      <c r="E147" s="9">
        <f t="shared" si="22"/>
        <v>5902.0130567970928</v>
      </c>
      <c r="F147" s="3">
        <f t="shared" si="23"/>
        <v>5902</v>
      </c>
      <c r="G147" s="3">
        <f t="shared" si="27"/>
        <v>2.6406999997561797E-2</v>
      </c>
      <c r="H147" s="7"/>
      <c r="I147" s="4"/>
      <c r="J147" s="4"/>
      <c r="K147" s="3">
        <f>G147</f>
        <v>2.6406999997561797E-2</v>
      </c>
      <c r="O147" s="3">
        <f t="shared" ca="1" si="21"/>
        <v>2.6327037586777693E-2</v>
      </c>
      <c r="P147" s="3">
        <f t="shared" si="24"/>
        <v>-6.8699883097368797E-2</v>
      </c>
      <c r="Q147" s="5">
        <f t="shared" si="25"/>
        <v>42357.5772</v>
      </c>
      <c r="R147" s="5" t="s">
        <v>119</v>
      </c>
      <c r="S147" s="3">
        <f t="shared" si="26"/>
        <v>9.0453192120327954E-3</v>
      </c>
    </row>
    <row r="148" spans="1:19" s="3" customFormat="1" ht="12.95" customHeight="1" x14ac:dyDescent="0.2">
      <c r="A148" s="76" t="s">
        <v>577</v>
      </c>
      <c r="B148" s="75" t="s">
        <v>92</v>
      </c>
      <c r="C148" s="74">
        <v>57752.259039999917</v>
      </c>
      <c r="D148" s="74">
        <v>2.9999999999999997E-4</v>
      </c>
      <c r="E148" s="9">
        <f>+(C148-C$7)/C$8</f>
        <v>6088.0141154028215</v>
      </c>
      <c r="F148" s="3">
        <f t="shared" si="23"/>
        <v>6088</v>
      </c>
      <c r="G148" s="3">
        <f>+C148-(C$7+F148*C$8)</f>
        <v>2.8547999914735556E-2</v>
      </c>
      <c r="H148" s="7"/>
      <c r="I148" s="4"/>
      <c r="J148" s="4"/>
      <c r="K148" s="3">
        <f>G148</f>
        <v>2.8547999914735556E-2</v>
      </c>
      <c r="O148" s="3">
        <f ca="1">+C$11+C$12*F148</f>
        <v>2.955239964370425E-2</v>
      </c>
      <c r="P148" s="3">
        <f>+D$11+D$12*F148+D$13*F148^2</f>
        <v>-7.4625851168674096E-2</v>
      </c>
      <c r="Q148" s="5">
        <f>+C148-15018.5</f>
        <v>42733.759039999917</v>
      </c>
      <c r="R148" s="5" t="s">
        <v>119</v>
      </c>
      <c r="S148" s="3">
        <f>+(P148-G148)^2</f>
        <v>1.0644843547381591E-2</v>
      </c>
    </row>
    <row r="149" spans="1:19" s="3" customFormat="1" ht="12.95" customHeight="1" x14ac:dyDescent="0.2">
      <c r="B149" s="4"/>
      <c r="C149" s="7"/>
    </row>
    <row r="150" spans="1:19" s="3" customFormat="1" ht="12.95" customHeight="1" x14ac:dyDescent="0.2">
      <c r="B150" s="4"/>
      <c r="C150" s="7"/>
    </row>
    <row r="151" spans="1:19" s="3" customFormat="1" ht="12.95" customHeight="1" x14ac:dyDescent="0.2">
      <c r="B151" s="4"/>
      <c r="C151" s="7"/>
    </row>
    <row r="152" spans="1:19" s="3" customFormat="1" ht="12.95" customHeight="1" x14ac:dyDescent="0.2">
      <c r="B152" s="4"/>
      <c r="C152" s="7"/>
    </row>
    <row r="153" spans="1:19" s="3" customFormat="1" ht="12.95" customHeight="1" x14ac:dyDescent="0.2">
      <c r="B153" s="4"/>
      <c r="C153" s="7"/>
    </row>
    <row r="154" spans="1:19" s="3" customFormat="1" ht="12.95" customHeight="1" x14ac:dyDescent="0.2">
      <c r="B154" s="4"/>
      <c r="C154" s="7"/>
    </row>
    <row r="155" spans="1:19" s="3" customFormat="1" ht="12.95" customHeight="1" x14ac:dyDescent="0.2">
      <c r="B155" s="4"/>
      <c r="C155" s="7"/>
    </row>
    <row r="156" spans="1:19" s="3" customFormat="1" ht="12.95" customHeight="1" x14ac:dyDescent="0.2">
      <c r="B156" s="4"/>
      <c r="C156" s="7"/>
    </row>
    <row r="157" spans="1:19" s="3" customFormat="1" ht="12.95" customHeight="1" x14ac:dyDescent="0.2">
      <c r="B157" s="4"/>
      <c r="C157" s="7"/>
    </row>
    <row r="158" spans="1:19" s="3" customFormat="1" ht="12.95" customHeight="1" x14ac:dyDescent="0.2">
      <c r="B158" s="4"/>
      <c r="C158" s="7"/>
    </row>
    <row r="159" spans="1:19" s="3" customFormat="1" ht="12.95" customHeight="1" x14ac:dyDescent="0.2">
      <c r="B159" s="4"/>
      <c r="C159" s="7"/>
    </row>
    <row r="160" spans="1:19" s="3" customFormat="1" ht="12.95" customHeight="1" x14ac:dyDescent="0.2">
      <c r="B160" s="4"/>
      <c r="C160" s="7"/>
    </row>
    <row r="161" spans="2:3" s="3" customFormat="1" ht="12.95" customHeight="1" x14ac:dyDescent="0.2">
      <c r="B161" s="4"/>
      <c r="C161" s="7"/>
    </row>
    <row r="162" spans="2:3" s="3" customFormat="1" ht="12.95" customHeight="1" x14ac:dyDescent="0.2">
      <c r="B162" s="4"/>
      <c r="C162" s="7"/>
    </row>
    <row r="163" spans="2:3" s="3" customFormat="1" ht="12.95" customHeight="1" x14ac:dyDescent="0.2">
      <c r="B163" s="4"/>
      <c r="C163" s="7"/>
    </row>
    <row r="164" spans="2:3" s="3" customFormat="1" ht="12.95" customHeight="1" x14ac:dyDescent="0.2">
      <c r="B164" s="4"/>
      <c r="C164" s="7"/>
    </row>
    <row r="165" spans="2:3" s="3" customFormat="1" ht="12.95" customHeight="1" x14ac:dyDescent="0.2">
      <c r="B165" s="4"/>
      <c r="C165" s="7"/>
    </row>
    <row r="166" spans="2:3" s="3" customFormat="1" ht="12.95" customHeight="1" x14ac:dyDescent="0.2">
      <c r="B166" s="4"/>
      <c r="C166" s="7"/>
    </row>
    <row r="167" spans="2:3" s="3" customFormat="1" ht="12.95" customHeight="1" x14ac:dyDescent="0.2">
      <c r="B167" s="4"/>
      <c r="C167" s="7"/>
    </row>
    <row r="168" spans="2:3" s="3" customFormat="1" ht="12.95" customHeight="1" x14ac:dyDescent="0.2">
      <c r="B168" s="4"/>
      <c r="C168" s="7"/>
    </row>
    <row r="169" spans="2:3" s="3" customFormat="1" ht="12.95" customHeight="1" x14ac:dyDescent="0.2">
      <c r="B169" s="4"/>
      <c r="C169" s="7"/>
    </row>
    <row r="170" spans="2:3" s="3" customFormat="1" ht="12.95" customHeight="1" x14ac:dyDescent="0.2">
      <c r="B170" s="4"/>
      <c r="C170" s="7"/>
    </row>
    <row r="171" spans="2:3" s="3" customFormat="1" ht="12.95" customHeight="1" x14ac:dyDescent="0.2">
      <c r="B171" s="4"/>
      <c r="C171" s="7"/>
    </row>
    <row r="172" spans="2:3" s="3" customFormat="1" ht="12.95" customHeight="1" x14ac:dyDescent="0.2">
      <c r="B172" s="4"/>
      <c r="C172" s="7"/>
    </row>
    <row r="173" spans="2:3" s="3" customFormat="1" ht="12.95" customHeight="1" x14ac:dyDescent="0.2">
      <c r="B173" s="4"/>
      <c r="C173" s="7"/>
    </row>
    <row r="174" spans="2:3" s="3" customFormat="1" ht="12.95" customHeight="1" x14ac:dyDescent="0.2">
      <c r="B174" s="4"/>
      <c r="C174" s="7"/>
    </row>
    <row r="175" spans="2:3" s="3" customFormat="1" ht="12.95" customHeight="1" x14ac:dyDescent="0.2">
      <c r="B175" s="4"/>
      <c r="C175" s="7"/>
    </row>
    <row r="176" spans="2:3" s="3" customFormat="1" ht="12.95" customHeight="1" x14ac:dyDescent="0.2">
      <c r="B176" s="4"/>
      <c r="C176" s="7"/>
    </row>
    <row r="177" spans="2:3" s="3" customFormat="1" ht="12.95" customHeight="1" x14ac:dyDescent="0.2">
      <c r="B177" s="4"/>
      <c r="C177" s="7"/>
    </row>
    <row r="178" spans="2:3" s="3" customFormat="1" ht="12.95" customHeight="1" x14ac:dyDescent="0.2">
      <c r="B178" s="4"/>
      <c r="C178" s="7"/>
    </row>
    <row r="179" spans="2:3" s="3" customFormat="1" ht="12.95" customHeight="1" x14ac:dyDescent="0.2">
      <c r="B179" s="4"/>
      <c r="C179" s="7"/>
    </row>
    <row r="180" spans="2:3" s="3" customFormat="1" ht="12.95" customHeight="1" x14ac:dyDescent="0.2">
      <c r="B180" s="4"/>
      <c r="C180" s="7"/>
    </row>
    <row r="181" spans="2:3" s="3" customFormat="1" ht="12.95" customHeight="1" x14ac:dyDescent="0.2">
      <c r="B181" s="4"/>
      <c r="C181" s="7"/>
    </row>
    <row r="182" spans="2:3" s="3" customFormat="1" ht="12.95" customHeight="1" x14ac:dyDescent="0.2">
      <c r="B182" s="4"/>
      <c r="C182" s="7"/>
    </row>
    <row r="183" spans="2:3" s="3" customFormat="1" ht="12.95" customHeight="1" x14ac:dyDescent="0.2">
      <c r="B183" s="4"/>
      <c r="C183" s="7"/>
    </row>
    <row r="184" spans="2:3" s="3" customFormat="1" ht="12.95" customHeight="1" x14ac:dyDescent="0.2">
      <c r="B184" s="4"/>
      <c r="C184" s="7"/>
    </row>
    <row r="185" spans="2:3" s="3" customFormat="1" ht="12.95" customHeight="1" x14ac:dyDescent="0.2">
      <c r="B185" s="4"/>
      <c r="C185" s="7"/>
    </row>
    <row r="186" spans="2:3" s="3" customFormat="1" ht="12.95" customHeight="1" x14ac:dyDescent="0.2">
      <c r="B186" s="4"/>
      <c r="C186" s="7"/>
    </row>
    <row r="187" spans="2:3" s="3" customFormat="1" ht="12.95" customHeight="1" x14ac:dyDescent="0.2">
      <c r="B187" s="4"/>
      <c r="C187" s="7"/>
    </row>
    <row r="188" spans="2:3" s="3" customFormat="1" ht="12.95" customHeight="1" x14ac:dyDescent="0.2">
      <c r="B188" s="4"/>
      <c r="C188" s="7"/>
    </row>
    <row r="189" spans="2:3" s="3" customFormat="1" ht="12.95" customHeight="1" x14ac:dyDescent="0.2">
      <c r="B189" s="4"/>
      <c r="C189" s="7"/>
    </row>
    <row r="190" spans="2:3" s="3" customFormat="1" ht="12.95" customHeight="1" x14ac:dyDescent="0.2">
      <c r="B190" s="4"/>
      <c r="C190" s="7"/>
    </row>
    <row r="191" spans="2:3" s="3" customFormat="1" ht="12.95" customHeight="1" x14ac:dyDescent="0.2">
      <c r="B191" s="4"/>
      <c r="C191" s="7"/>
    </row>
    <row r="192" spans="2:3" s="3" customFormat="1" ht="12.95" customHeight="1" x14ac:dyDescent="0.2">
      <c r="B192" s="4"/>
      <c r="C192" s="7"/>
    </row>
    <row r="193" spans="2:3" s="3" customFormat="1" ht="12.95" customHeight="1" x14ac:dyDescent="0.2">
      <c r="B193" s="4"/>
      <c r="C193" s="7"/>
    </row>
    <row r="194" spans="2:3" s="3" customFormat="1" ht="12.95" customHeight="1" x14ac:dyDescent="0.2">
      <c r="B194" s="4"/>
      <c r="C194" s="7"/>
    </row>
    <row r="195" spans="2:3" s="3" customFormat="1" ht="12.95" customHeight="1" x14ac:dyDescent="0.2">
      <c r="B195" s="4"/>
      <c r="C195" s="7"/>
    </row>
    <row r="196" spans="2:3" s="3" customFormat="1" ht="12.95" customHeight="1" x14ac:dyDescent="0.2">
      <c r="B196" s="4"/>
      <c r="C196" s="7"/>
    </row>
    <row r="197" spans="2:3" s="3" customFormat="1" ht="12.95" customHeight="1" x14ac:dyDescent="0.2">
      <c r="B197" s="4"/>
      <c r="C197" s="7"/>
    </row>
    <row r="198" spans="2:3" s="3" customFormat="1" ht="12.95" customHeight="1" x14ac:dyDescent="0.2">
      <c r="B198" s="4"/>
      <c r="C198" s="7"/>
    </row>
    <row r="199" spans="2:3" s="3" customFormat="1" ht="12.95" customHeight="1" x14ac:dyDescent="0.2">
      <c r="B199" s="4"/>
      <c r="C199" s="7"/>
    </row>
    <row r="200" spans="2:3" s="3" customFormat="1" ht="12.95" customHeight="1" x14ac:dyDescent="0.2">
      <c r="B200" s="4"/>
      <c r="C200" s="7"/>
    </row>
    <row r="201" spans="2:3" s="3" customFormat="1" ht="12.95" customHeight="1" x14ac:dyDescent="0.2">
      <c r="B201" s="4"/>
      <c r="C201" s="7"/>
    </row>
    <row r="202" spans="2:3" s="3" customFormat="1" ht="12.95" customHeight="1" x14ac:dyDescent="0.2">
      <c r="B202" s="4"/>
      <c r="C202" s="7"/>
    </row>
    <row r="203" spans="2:3" s="3" customFormat="1" ht="12.95" customHeight="1" x14ac:dyDescent="0.2">
      <c r="B203" s="4"/>
      <c r="C203" s="7"/>
    </row>
    <row r="204" spans="2:3" s="3" customFormat="1" ht="12.95" customHeight="1" x14ac:dyDescent="0.2">
      <c r="B204" s="4"/>
      <c r="C204" s="7"/>
    </row>
    <row r="205" spans="2:3" s="3" customFormat="1" ht="12.95" customHeight="1" x14ac:dyDescent="0.2">
      <c r="B205" s="4"/>
      <c r="C205" s="7"/>
    </row>
    <row r="206" spans="2:3" s="3" customFormat="1" ht="12.95" customHeight="1" x14ac:dyDescent="0.2">
      <c r="B206" s="4"/>
      <c r="C206" s="7"/>
    </row>
    <row r="207" spans="2:3" s="3" customFormat="1" ht="12.95" customHeight="1" x14ac:dyDescent="0.2">
      <c r="B207" s="4"/>
      <c r="C207" s="7"/>
    </row>
    <row r="208" spans="2:3" s="3" customFormat="1" ht="12.95" customHeight="1" x14ac:dyDescent="0.2">
      <c r="B208" s="4"/>
      <c r="C208" s="7"/>
    </row>
    <row r="209" spans="2:3" s="3" customFormat="1" ht="12.95" customHeight="1" x14ac:dyDescent="0.2">
      <c r="B209" s="4"/>
      <c r="C209" s="7"/>
    </row>
    <row r="210" spans="2:3" s="3" customFormat="1" ht="12.95" customHeight="1" x14ac:dyDescent="0.2">
      <c r="B210" s="4"/>
      <c r="C210" s="7"/>
    </row>
    <row r="211" spans="2:3" s="3" customFormat="1" ht="12.95" customHeight="1" x14ac:dyDescent="0.2">
      <c r="B211" s="4"/>
      <c r="C211" s="7"/>
    </row>
    <row r="212" spans="2:3" s="3" customFormat="1" ht="12.95" customHeight="1" x14ac:dyDescent="0.2">
      <c r="B212" s="4"/>
      <c r="C212" s="7"/>
    </row>
    <row r="213" spans="2:3" s="3" customFormat="1" ht="12.95" customHeight="1" x14ac:dyDescent="0.2">
      <c r="B213" s="4"/>
      <c r="C213" s="7"/>
    </row>
    <row r="214" spans="2:3" s="3" customFormat="1" ht="12.95" customHeight="1" x14ac:dyDescent="0.2">
      <c r="B214" s="4"/>
      <c r="C214" s="7"/>
    </row>
    <row r="215" spans="2:3" s="3" customFormat="1" ht="12.95" customHeight="1" x14ac:dyDescent="0.2">
      <c r="B215" s="4"/>
      <c r="C215" s="7"/>
    </row>
    <row r="216" spans="2:3" s="3" customFormat="1" ht="12.95" customHeight="1" x14ac:dyDescent="0.2">
      <c r="B216" s="4"/>
      <c r="C216" s="7"/>
    </row>
    <row r="217" spans="2:3" s="3" customFormat="1" ht="12.95" customHeight="1" x14ac:dyDescent="0.2">
      <c r="B217" s="4"/>
      <c r="C217" s="7"/>
    </row>
    <row r="218" spans="2:3" s="3" customFormat="1" ht="12.95" customHeight="1" x14ac:dyDescent="0.2">
      <c r="B218" s="4"/>
      <c r="C218" s="7"/>
    </row>
    <row r="219" spans="2:3" s="34" customFormat="1" ht="12.95" customHeight="1" x14ac:dyDescent="0.2">
      <c r="B219" s="47"/>
      <c r="C219" s="36"/>
    </row>
    <row r="220" spans="2:3" s="34" customFormat="1" ht="12.95" customHeight="1" x14ac:dyDescent="0.2">
      <c r="B220" s="47"/>
      <c r="C220" s="36"/>
    </row>
    <row r="221" spans="2:3" s="34" customFormat="1" ht="12.95" customHeight="1" x14ac:dyDescent="0.2">
      <c r="B221" s="47"/>
      <c r="C221" s="36"/>
    </row>
    <row r="222" spans="2:3" s="34" customFormat="1" ht="12.95" customHeight="1" x14ac:dyDescent="0.2">
      <c r="B222" s="47"/>
      <c r="C222" s="36"/>
    </row>
    <row r="223" spans="2:3" s="34" customFormat="1" ht="12.95" customHeight="1" x14ac:dyDescent="0.2">
      <c r="B223" s="47"/>
      <c r="C223" s="36"/>
    </row>
    <row r="224" spans="2:3" s="34" customFormat="1" ht="12.95" customHeight="1" x14ac:dyDescent="0.2">
      <c r="B224" s="47"/>
      <c r="C224" s="36"/>
    </row>
    <row r="225" spans="2:3" s="34" customFormat="1" ht="12.95" customHeight="1" x14ac:dyDescent="0.2">
      <c r="B225" s="47"/>
      <c r="C225" s="36"/>
    </row>
    <row r="226" spans="2:3" s="34" customFormat="1" ht="12.95" customHeight="1" x14ac:dyDescent="0.2">
      <c r="B226" s="47"/>
      <c r="C226" s="36"/>
    </row>
    <row r="227" spans="2:3" s="34" customFormat="1" ht="12.95" customHeight="1" x14ac:dyDescent="0.2">
      <c r="B227" s="47"/>
      <c r="C227" s="36"/>
    </row>
    <row r="228" spans="2:3" s="34" customFormat="1" ht="12.95" customHeight="1" x14ac:dyDescent="0.2">
      <c r="B228" s="47"/>
      <c r="C228" s="36"/>
    </row>
    <row r="229" spans="2:3" s="34" customFormat="1" ht="12.95" customHeight="1" x14ac:dyDescent="0.2">
      <c r="B229" s="47"/>
      <c r="C229" s="36"/>
    </row>
    <row r="230" spans="2:3" s="34" customFormat="1" ht="12.95" customHeight="1" x14ac:dyDescent="0.2">
      <c r="B230" s="47"/>
      <c r="C230" s="36"/>
    </row>
    <row r="231" spans="2:3" s="34" customFormat="1" ht="12.95" customHeight="1" x14ac:dyDescent="0.2">
      <c r="B231" s="47"/>
      <c r="C231" s="36"/>
    </row>
    <row r="232" spans="2:3" s="34" customFormat="1" ht="12.95" customHeight="1" x14ac:dyDescent="0.2">
      <c r="B232" s="47"/>
      <c r="C232" s="36"/>
    </row>
    <row r="233" spans="2:3" s="34" customFormat="1" ht="12.95" customHeight="1" x14ac:dyDescent="0.2">
      <c r="B233" s="47"/>
      <c r="C233" s="36"/>
    </row>
    <row r="234" spans="2:3" s="34" customFormat="1" ht="12.95" customHeight="1" x14ac:dyDescent="0.2">
      <c r="B234" s="47"/>
      <c r="C234" s="36"/>
    </row>
    <row r="235" spans="2:3" s="34" customFormat="1" ht="12.95" customHeight="1" x14ac:dyDescent="0.2">
      <c r="B235" s="47"/>
      <c r="C235" s="36"/>
    </row>
    <row r="236" spans="2:3" s="34" customFormat="1" ht="12.95" customHeight="1" x14ac:dyDescent="0.2">
      <c r="B236" s="47"/>
      <c r="C236" s="36"/>
    </row>
    <row r="237" spans="2:3" s="34" customFormat="1" ht="12.95" customHeight="1" x14ac:dyDescent="0.2">
      <c r="B237" s="47"/>
      <c r="C237" s="36"/>
    </row>
    <row r="238" spans="2:3" s="34" customFormat="1" ht="12.95" customHeight="1" x14ac:dyDescent="0.2">
      <c r="B238" s="47"/>
      <c r="C238" s="36"/>
    </row>
    <row r="239" spans="2:3" s="34" customFormat="1" ht="12.95" customHeight="1" x14ac:dyDescent="0.2">
      <c r="B239" s="47"/>
      <c r="C239" s="36"/>
    </row>
    <row r="240" spans="2:3" s="34" customFormat="1" ht="12.95" customHeight="1" x14ac:dyDescent="0.2">
      <c r="B240" s="47"/>
      <c r="C240" s="36"/>
    </row>
    <row r="241" spans="2:3" s="34" customFormat="1" ht="12.95" customHeight="1" x14ac:dyDescent="0.2">
      <c r="B241" s="47"/>
      <c r="C241" s="36"/>
    </row>
    <row r="242" spans="2:3" s="34" customFormat="1" ht="12.95" customHeight="1" x14ac:dyDescent="0.2">
      <c r="B242" s="47"/>
      <c r="C242" s="36"/>
    </row>
    <row r="243" spans="2:3" s="34" customFormat="1" ht="12.95" customHeight="1" x14ac:dyDescent="0.2">
      <c r="B243" s="47"/>
      <c r="C243" s="36"/>
    </row>
    <row r="244" spans="2:3" s="34" customFormat="1" ht="12.95" customHeight="1" x14ac:dyDescent="0.2">
      <c r="B244" s="47"/>
      <c r="C244" s="36"/>
    </row>
    <row r="245" spans="2:3" s="34" customFormat="1" ht="12.95" customHeight="1" x14ac:dyDescent="0.2">
      <c r="B245" s="47"/>
      <c r="C245" s="36"/>
    </row>
    <row r="246" spans="2:3" s="34" customFormat="1" ht="12.95" customHeight="1" x14ac:dyDescent="0.2">
      <c r="B246" s="47"/>
      <c r="C246" s="36"/>
    </row>
    <row r="247" spans="2:3" s="34" customFormat="1" ht="12.95" customHeight="1" x14ac:dyDescent="0.2">
      <c r="B247" s="47"/>
      <c r="C247" s="36"/>
    </row>
    <row r="248" spans="2:3" s="34" customFormat="1" ht="12.95" customHeight="1" x14ac:dyDescent="0.2">
      <c r="B248" s="47"/>
      <c r="C248" s="36"/>
    </row>
    <row r="249" spans="2:3" s="34" customFormat="1" ht="12.95" customHeight="1" x14ac:dyDescent="0.2">
      <c r="B249" s="47"/>
      <c r="C249" s="36"/>
    </row>
    <row r="250" spans="2:3" s="34" customFormat="1" ht="12.95" customHeight="1" x14ac:dyDescent="0.2">
      <c r="B250" s="47"/>
      <c r="C250" s="36"/>
    </row>
    <row r="251" spans="2:3" s="34" customFormat="1" ht="12.95" customHeight="1" x14ac:dyDescent="0.2">
      <c r="B251" s="47"/>
      <c r="C251" s="36"/>
    </row>
    <row r="252" spans="2:3" s="34" customFormat="1" ht="12.95" customHeight="1" x14ac:dyDescent="0.2">
      <c r="B252" s="47"/>
      <c r="C252" s="36"/>
    </row>
    <row r="253" spans="2:3" s="34" customFormat="1" ht="12.95" customHeight="1" x14ac:dyDescent="0.2">
      <c r="B253" s="47"/>
      <c r="C253" s="36"/>
    </row>
    <row r="254" spans="2:3" s="34" customFormat="1" ht="12.95" customHeight="1" x14ac:dyDescent="0.2">
      <c r="B254" s="47"/>
      <c r="C254" s="36"/>
    </row>
    <row r="255" spans="2:3" s="34" customFormat="1" ht="12.95" customHeight="1" x14ac:dyDescent="0.2">
      <c r="B255" s="47"/>
      <c r="C255" s="36"/>
    </row>
    <row r="256" spans="2:3" s="34" customFormat="1" ht="12.95" customHeight="1" x14ac:dyDescent="0.2">
      <c r="B256" s="47"/>
      <c r="C256" s="36"/>
    </row>
    <row r="257" spans="2:3" s="34" customFormat="1" ht="12.95" customHeight="1" x14ac:dyDescent="0.2">
      <c r="B257" s="47"/>
      <c r="C257" s="36"/>
    </row>
    <row r="258" spans="2:3" s="34" customFormat="1" ht="12.95" customHeight="1" x14ac:dyDescent="0.2">
      <c r="B258" s="47"/>
      <c r="C258" s="36"/>
    </row>
    <row r="259" spans="2:3" s="34" customFormat="1" ht="12.95" customHeight="1" x14ac:dyDescent="0.2">
      <c r="B259" s="47"/>
      <c r="C259" s="36"/>
    </row>
    <row r="260" spans="2:3" s="34" customFormat="1" ht="12.95" customHeight="1" x14ac:dyDescent="0.2">
      <c r="B260" s="47"/>
      <c r="C260" s="36"/>
    </row>
    <row r="261" spans="2:3" x14ac:dyDescent="0.2">
      <c r="B261" s="2"/>
    </row>
    <row r="262" spans="2:3" x14ac:dyDescent="0.2">
      <c r="B262" s="2"/>
    </row>
    <row r="263" spans="2:3" x14ac:dyDescent="0.2">
      <c r="B263" s="2"/>
    </row>
    <row r="264" spans="2:3" x14ac:dyDescent="0.2">
      <c r="B264" s="2"/>
    </row>
    <row r="265" spans="2:3" x14ac:dyDescent="0.2">
      <c r="B265" s="2"/>
    </row>
    <row r="266" spans="2:3" x14ac:dyDescent="0.2">
      <c r="B266" s="2"/>
    </row>
    <row r="267" spans="2:3" x14ac:dyDescent="0.2">
      <c r="B267" s="2"/>
    </row>
    <row r="268" spans="2:3" x14ac:dyDescent="0.2">
      <c r="B268" s="2"/>
    </row>
    <row r="269" spans="2:3" x14ac:dyDescent="0.2">
      <c r="B269" s="2"/>
    </row>
    <row r="270" spans="2:3" x14ac:dyDescent="0.2">
      <c r="B270" s="2"/>
    </row>
    <row r="271" spans="2:3" x14ac:dyDescent="0.2">
      <c r="B271" s="2"/>
    </row>
    <row r="272" spans="2:3" x14ac:dyDescent="0.2">
      <c r="B272" s="2"/>
    </row>
    <row r="273" spans="2:2" x14ac:dyDescent="0.2">
      <c r="B273" s="2"/>
    </row>
    <row r="274" spans="2:2" x14ac:dyDescent="0.2">
      <c r="B274" s="2"/>
    </row>
    <row r="275" spans="2:2" x14ac:dyDescent="0.2">
      <c r="B275" s="2"/>
    </row>
    <row r="276" spans="2:2" x14ac:dyDescent="0.2">
      <c r="B276" s="2"/>
    </row>
    <row r="277" spans="2:2" x14ac:dyDescent="0.2">
      <c r="B277" s="2"/>
    </row>
    <row r="278" spans="2:2" x14ac:dyDescent="0.2">
      <c r="B278" s="2"/>
    </row>
    <row r="279" spans="2:2" x14ac:dyDescent="0.2">
      <c r="B279" s="2"/>
    </row>
    <row r="280" spans="2:2" x14ac:dyDescent="0.2">
      <c r="B280" s="2"/>
    </row>
    <row r="281" spans="2:2" x14ac:dyDescent="0.2">
      <c r="B281" s="2"/>
    </row>
    <row r="282" spans="2:2" x14ac:dyDescent="0.2">
      <c r="B282" s="2"/>
    </row>
    <row r="283" spans="2:2" x14ac:dyDescent="0.2">
      <c r="B283" s="2"/>
    </row>
    <row r="284" spans="2:2" x14ac:dyDescent="0.2">
      <c r="B284" s="2"/>
    </row>
    <row r="285" spans="2:2" x14ac:dyDescent="0.2">
      <c r="B285" s="2"/>
    </row>
    <row r="286" spans="2:2" x14ac:dyDescent="0.2">
      <c r="B286" s="2"/>
    </row>
    <row r="287" spans="2:2" x14ac:dyDescent="0.2">
      <c r="B287" s="2"/>
    </row>
    <row r="288" spans="2:2" x14ac:dyDescent="0.2">
      <c r="B288" s="2"/>
    </row>
    <row r="289" spans="2:2" x14ac:dyDescent="0.2">
      <c r="B289" s="2"/>
    </row>
    <row r="290" spans="2:2" x14ac:dyDescent="0.2">
      <c r="B290" s="2"/>
    </row>
    <row r="291" spans="2:2" x14ac:dyDescent="0.2">
      <c r="B291" s="2"/>
    </row>
    <row r="292" spans="2:2" x14ac:dyDescent="0.2">
      <c r="B292" s="2"/>
    </row>
    <row r="293" spans="2:2" x14ac:dyDescent="0.2">
      <c r="B293" s="2"/>
    </row>
    <row r="294" spans="2:2" x14ac:dyDescent="0.2">
      <c r="B294" s="2"/>
    </row>
    <row r="295" spans="2:2" x14ac:dyDescent="0.2">
      <c r="B295" s="2"/>
    </row>
    <row r="296" spans="2:2" x14ac:dyDescent="0.2">
      <c r="B296" s="2"/>
    </row>
    <row r="297" spans="2:2" x14ac:dyDescent="0.2">
      <c r="B297" s="2"/>
    </row>
    <row r="298" spans="2:2" x14ac:dyDescent="0.2">
      <c r="B298" s="2"/>
    </row>
    <row r="299" spans="2:2" x14ac:dyDescent="0.2">
      <c r="B299" s="2"/>
    </row>
    <row r="300" spans="2:2" x14ac:dyDescent="0.2">
      <c r="B300" s="2"/>
    </row>
    <row r="301" spans="2:2" x14ac:dyDescent="0.2">
      <c r="B301" s="2"/>
    </row>
    <row r="302" spans="2:2" x14ac:dyDescent="0.2">
      <c r="B302" s="2"/>
    </row>
    <row r="303" spans="2:2" x14ac:dyDescent="0.2">
      <c r="B303" s="2"/>
    </row>
    <row r="304" spans="2:2" x14ac:dyDescent="0.2">
      <c r="B304" s="2"/>
    </row>
    <row r="305" spans="2:2" x14ac:dyDescent="0.2">
      <c r="B305" s="2"/>
    </row>
    <row r="306" spans="2:2" x14ac:dyDescent="0.2">
      <c r="B306" s="2"/>
    </row>
    <row r="307" spans="2:2" x14ac:dyDescent="0.2">
      <c r="B307" s="2"/>
    </row>
    <row r="308" spans="2:2" x14ac:dyDescent="0.2">
      <c r="B308" s="2"/>
    </row>
    <row r="309" spans="2:2" x14ac:dyDescent="0.2">
      <c r="B309" s="2"/>
    </row>
    <row r="310" spans="2:2" x14ac:dyDescent="0.2">
      <c r="B310" s="2"/>
    </row>
  </sheetData>
  <protectedRanges>
    <protectedRange sqref="A148:D14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2"/>
  <sheetViews>
    <sheetView topLeftCell="A85" workbookViewId="0">
      <selection activeCell="A103" sqref="A103:C132"/>
    </sheetView>
  </sheetViews>
  <sheetFormatPr defaultRowHeight="12.75" x14ac:dyDescent="0.2"/>
  <cols>
    <col min="1" max="1" width="19.7109375" style="18" customWidth="1"/>
    <col min="2" max="2" width="4.42578125" style="15" customWidth="1"/>
    <col min="3" max="3" width="12.7109375" style="18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8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17" t="s">
        <v>117</v>
      </c>
      <c r="I1" s="19" t="s">
        <v>118</v>
      </c>
      <c r="J1" s="20" t="s">
        <v>119</v>
      </c>
    </row>
    <row r="2" spans="1:16" x14ac:dyDescent="0.2">
      <c r="I2" s="21" t="s">
        <v>120</v>
      </c>
      <c r="J2" s="22" t="s">
        <v>121</v>
      </c>
    </row>
    <row r="3" spans="1:16" x14ac:dyDescent="0.2">
      <c r="A3" s="23" t="s">
        <v>122</v>
      </c>
      <c r="I3" s="21" t="s">
        <v>123</v>
      </c>
      <c r="J3" s="22" t="s">
        <v>124</v>
      </c>
    </row>
    <row r="4" spans="1:16" x14ac:dyDescent="0.2">
      <c r="I4" s="21" t="s">
        <v>125</v>
      </c>
      <c r="J4" s="22" t="s">
        <v>124</v>
      </c>
    </row>
    <row r="5" spans="1:16" ht="13.5" thickBot="1" x14ac:dyDescent="0.25">
      <c r="I5" s="24" t="s">
        <v>126</v>
      </c>
      <c r="J5" s="25" t="s">
        <v>97</v>
      </c>
    </row>
    <row r="10" spans="1:16" ht="13.5" thickBot="1" x14ac:dyDescent="0.25"/>
    <row r="11" spans="1:16" ht="12.75" customHeight="1" thickBot="1" x14ac:dyDescent="0.25">
      <c r="A11" s="18" t="str">
        <f t="shared" ref="A11:A42" si="0">P11</f>
        <v> BBS 21 </v>
      </c>
      <c r="B11" s="2" t="str">
        <f t="shared" ref="B11:B42" si="1">IF(H11=INT(H11),"I","II")</f>
        <v>I</v>
      </c>
      <c r="C11" s="18">
        <f t="shared" ref="C11:C42" si="2">1*G11</f>
        <v>42452.258999999998</v>
      </c>
      <c r="D11" s="15" t="str">
        <f t="shared" ref="D11:D42" si="3">VLOOKUP(F11,I$1:J$5,2,FALSE)</f>
        <v>vis</v>
      </c>
      <c r="E11" s="26">
        <f>VLOOKUP(C11,Active!C$21:E$969,3,FALSE)</f>
        <v>-1476.9874383891199</v>
      </c>
      <c r="F11" s="2" t="s">
        <v>126</v>
      </c>
      <c r="G11" s="15" t="str">
        <f t="shared" ref="G11:G42" si="4">MID(I11,3,LEN(I11)-3)</f>
        <v>42452.259</v>
      </c>
      <c r="H11" s="18">
        <f t="shared" ref="H11:H42" si="5">1*K11</f>
        <v>-1477</v>
      </c>
      <c r="I11" s="27" t="s">
        <v>187</v>
      </c>
      <c r="J11" s="28" t="s">
        <v>188</v>
      </c>
      <c r="K11" s="27">
        <v>-1477</v>
      </c>
      <c r="L11" s="27" t="s">
        <v>189</v>
      </c>
      <c r="M11" s="28" t="s">
        <v>190</v>
      </c>
      <c r="N11" s="28"/>
      <c r="O11" s="29" t="s">
        <v>191</v>
      </c>
      <c r="P11" s="29" t="s">
        <v>192</v>
      </c>
    </row>
    <row r="12" spans="1:16" ht="12.75" customHeight="1" thickBot="1" x14ac:dyDescent="0.25">
      <c r="A12" s="18" t="str">
        <f t="shared" si="0"/>
        <v> BBS 21 </v>
      </c>
      <c r="B12" s="2" t="str">
        <f t="shared" si="1"/>
        <v>I</v>
      </c>
      <c r="C12" s="18">
        <f t="shared" si="2"/>
        <v>42452.262000000002</v>
      </c>
      <c r="D12" s="15" t="str">
        <f t="shared" si="3"/>
        <v>vis</v>
      </c>
      <c r="E12" s="26">
        <f>VLOOKUP(C12,Active!C$21:E$969,3,FALSE)</f>
        <v>-1476.9859550554836</v>
      </c>
      <c r="F12" s="2" t="s">
        <v>126</v>
      </c>
      <c r="G12" s="15" t="str">
        <f t="shared" si="4"/>
        <v>42452.262</v>
      </c>
      <c r="H12" s="18">
        <f t="shared" si="5"/>
        <v>-1477</v>
      </c>
      <c r="I12" s="27" t="s">
        <v>193</v>
      </c>
      <c r="J12" s="28" t="s">
        <v>194</v>
      </c>
      <c r="K12" s="27">
        <v>-1477</v>
      </c>
      <c r="L12" s="27" t="s">
        <v>195</v>
      </c>
      <c r="M12" s="28" t="s">
        <v>190</v>
      </c>
      <c r="N12" s="28"/>
      <c r="O12" s="29" t="s">
        <v>196</v>
      </c>
      <c r="P12" s="29" t="s">
        <v>192</v>
      </c>
    </row>
    <row r="13" spans="1:16" ht="12.75" customHeight="1" thickBot="1" x14ac:dyDescent="0.25">
      <c r="A13" s="18" t="str">
        <f t="shared" si="0"/>
        <v> BBS 21 </v>
      </c>
      <c r="B13" s="2" t="str">
        <f t="shared" si="1"/>
        <v>I</v>
      </c>
      <c r="C13" s="18">
        <f t="shared" si="2"/>
        <v>42454.249000000003</v>
      </c>
      <c r="D13" s="15" t="str">
        <f t="shared" si="3"/>
        <v>vis</v>
      </c>
      <c r="E13" s="26">
        <f>VLOOKUP(C13,Active!C$21:E$969,3,FALSE)</f>
        <v>-1476.0034937451508</v>
      </c>
      <c r="F13" s="2" t="s">
        <v>126</v>
      </c>
      <c r="G13" s="15" t="str">
        <f t="shared" si="4"/>
        <v>42454.249</v>
      </c>
      <c r="H13" s="18">
        <f t="shared" si="5"/>
        <v>-1476</v>
      </c>
      <c r="I13" s="27" t="s">
        <v>197</v>
      </c>
      <c r="J13" s="28" t="s">
        <v>198</v>
      </c>
      <c r="K13" s="27">
        <v>-1476</v>
      </c>
      <c r="L13" s="27" t="s">
        <v>199</v>
      </c>
      <c r="M13" s="28" t="s">
        <v>190</v>
      </c>
      <c r="N13" s="28"/>
      <c r="O13" s="29" t="s">
        <v>191</v>
      </c>
      <c r="P13" s="29" t="s">
        <v>192</v>
      </c>
    </row>
    <row r="14" spans="1:16" ht="12.75" customHeight="1" thickBot="1" x14ac:dyDescent="0.25">
      <c r="A14" s="18" t="str">
        <f t="shared" si="0"/>
        <v> BBS 21 </v>
      </c>
      <c r="B14" s="2" t="str">
        <f t="shared" si="1"/>
        <v>I</v>
      </c>
      <c r="C14" s="18">
        <f t="shared" si="2"/>
        <v>42458.279000000002</v>
      </c>
      <c r="D14" s="15" t="str">
        <f t="shared" si="3"/>
        <v>vis</v>
      </c>
      <c r="E14" s="26">
        <f>VLOOKUP(C14,Active!C$21:E$969,3,FALSE)</f>
        <v>-1474.0108822299828</v>
      </c>
      <c r="F14" s="2" t="s">
        <v>126</v>
      </c>
      <c r="G14" s="15" t="str">
        <f t="shared" si="4"/>
        <v>42458.279</v>
      </c>
      <c r="H14" s="18">
        <f t="shared" si="5"/>
        <v>-1474</v>
      </c>
      <c r="I14" s="27" t="s">
        <v>200</v>
      </c>
      <c r="J14" s="28" t="s">
        <v>201</v>
      </c>
      <c r="K14" s="27">
        <v>-1474</v>
      </c>
      <c r="L14" s="27" t="s">
        <v>202</v>
      </c>
      <c r="M14" s="28" t="s">
        <v>190</v>
      </c>
      <c r="N14" s="28"/>
      <c r="O14" s="29" t="s">
        <v>191</v>
      </c>
      <c r="P14" s="29" t="s">
        <v>192</v>
      </c>
    </row>
    <row r="15" spans="1:16" ht="12.75" customHeight="1" thickBot="1" x14ac:dyDescent="0.25">
      <c r="A15" s="18" t="str">
        <f t="shared" si="0"/>
        <v> BBS 21 </v>
      </c>
      <c r="B15" s="2" t="str">
        <f t="shared" si="1"/>
        <v>I</v>
      </c>
      <c r="C15" s="18">
        <f t="shared" si="2"/>
        <v>42464.345000000001</v>
      </c>
      <c r="D15" s="15" t="str">
        <f t="shared" si="3"/>
        <v>vis</v>
      </c>
      <c r="E15" s="26">
        <f>VLOOKUP(C15,Active!C$21:E$969,3,FALSE)</f>
        <v>-1471.0115816217919</v>
      </c>
      <c r="F15" s="2" t="s">
        <v>126</v>
      </c>
      <c r="G15" s="15" t="str">
        <f t="shared" si="4"/>
        <v>42464.345</v>
      </c>
      <c r="H15" s="18">
        <f t="shared" si="5"/>
        <v>-1471</v>
      </c>
      <c r="I15" s="27" t="s">
        <v>203</v>
      </c>
      <c r="J15" s="28" t="s">
        <v>204</v>
      </c>
      <c r="K15" s="27">
        <v>-1471</v>
      </c>
      <c r="L15" s="27" t="s">
        <v>205</v>
      </c>
      <c r="M15" s="28" t="s">
        <v>190</v>
      </c>
      <c r="N15" s="28"/>
      <c r="O15" s="29" t="s">
        <v>196</v>
      </c>
      <c r="P15" s="29" t="s">
        <v>192</v>
      </c>
    </row>
    <row r="16" spans="1:16" ht="12.75" customHeight="1" thickBot="1" x14ac:dyDescent="0.25">
      <c r="A16" s="18" t="str">
        <f t="shared" si="0"/>
        <v> BBS 21 </v>
      </c>
      <c r="B16" s="2" t="str">
        <f t="shared" si="1"/>
        <v>I</v>
      </c>
      <c r="C16" s="18">
        <f t="shared" si="2"/>
        <v>42464.35</v>
      </c>
      <c r="D16" s="15" t="str">
        <f t="shared" si="3"/>
        <v>vis</v>
      </c>
      <c r="E16" s="26">
        <f>VLOOKUP(C16,Active!C$21:E$969,3,FALSE)</f>
        <v>-1471.0091093990698</v>
      </c>
      <c r="F16" s="2" t="s">
        <v>126</v>
      </c>
      <c r="G16" s="15" t="str">
        <f t="shared" si="4"/>
        <v>42464.350</v>
      </c>
      <c r="H16" s="18">
        <f t="shared" si="5"/>
        <v>-1471</v>
      </c>
      <c r="I16" s="27" t="s">
        <v>206</v>
      </c>
      <c r="J16" s="28" t="s">
        <v>207</v>
      </c>
      <c r="K16" s="27">
        <v>-1471</v>
      </c>
      <c r="L16" s="27" t="s">
        <v>208</v>
      </c>
      <c r="M16" s="28" t="s">
        <v>190</v>
      </c>
      <c r="N16" s="28"/>
      <c r="O16" s="29" t="s">
        <v>191</v>
      </c>
      <c r="P16" s="29" t="s">
        <v>192</v>
      </c>
    </row>
    <row r="17" spans="1:16" ht="12.75" customHeight="1" thickBot="1" x14ac:dyDescent="0.25">
      <c r="A17" s="18" t="str">
        <f t="shared" si="0"/>
        <v> BBS 21 </v>
      </c>
      <c r="B17" s="2" t="str">
        <f t="shared" si="1"/>
        <v>I</v>
      </c>
      <c r="C17" s="18">
        <f t="shared" si="2"/>
        <v>42470.400000000001</v>
      </c>
      <c r="D17" s="15" t="str">
        <f t="shared" si="3"/>
        <v>vis</v>
      </c>
      <c r="E17" s="26">
        <f>VLOOKUP(C17,Active!C$21:E$969,3,FALSE)</f>
        <v>-1468.017719903592</v>
      </c>
      <c r="F17" s="2" t="s">
        <v>126</v>
      </c>
      <c r="G17" s="15" t="str">
        <f t="shared" si="4"/>
        <v>42470.400</v>
      </c>
      <c r="H17" s="18">
        <f t="shared" si="5"/>
        <v>-1468</v>
      </c>
      <c r="I17" s="27" t="s">
        <v>209</v>
      </c>
      <c r="J17" s="28" t="s">
        <v>210</v>
      </c>
      <c r="K17" s="27">
        <v>-1468</v>
      </c>
      <c r="L17" s="27" t="s">
        <v>211</v>
      </c>
      <c r="M17" s="28" t="s">
        <v>190</v>
      </c>
      <c r="N17" s="28"/>
      <c r="O17" s="29" t="s">
        <v>191</v>
      </c>
      <c r="P17" s="29" t="s">
        <v>192</v>
      </c>
    </row>
    <row r="18" spans="1:16" ht="12.75" customHeight="1" thickBot="1" x14ac:dyDescent="0.25">
      <c r="A18" s="18" t="str">
        <f t="shared" si="0"/>
        <v> BBS 22 </v>
      </c>
      <c r="B18" s="2" t="str">
        <f t="shared" si="1"/>
        <v>I</v>
      </c>
      <c r="C18" s="18">
        <f t="shared" si="2"/>
        <v>42561.423999999999</v>
      </c>
      <c r="D18" s="15" t="str">
        <f t="shared" si="3"/>
        <v>vis</v>
      </c>
      <c r="E18" s="26">
        <f>VLOOKUP(C18,Active!C$21:E$969,3,FALSE)</f>
        <v>-1423.0113996662005</v>
      </c>
      <c r="F18" s="2" t="s">
        <v>126</v>
      </c>
      <c r="G18" s="15" t="str">
        <f t="shared" si="4"/>
        <v>42561.424</v>
      </c>
      <c r="H18" s="18">
        <f t="shared" si="5"/>
        <v>-1423</v>
      </c>
      <c r="I18" s="27" t="s">
        <v>212</v>
      </c>
      <c r="J18" s="28" t="s">
        <v>213</v>
      </c>
      <c r="K18" s="27">
        <v>-1423</v>
      </c>
      <c r="L18" s="27" t="s">
        <v>205</v>
      </c>
      <c r="M18" s="28" t="s">
        <v>190</v>
      </c>
      <c r="N18" s="28"/>
      <c r="O18" s="29" t="s">
        <v>191</v>
      </c>
      <c r="P18" s="29" t="s">
        <v>214</v>
      </c>
    </row>
    <row r="19" spans="1:16" ht="12.75" customHeight="1" thickBot="1" x14ac:dyDescent="0.25">
      <c r="A19" s="18" t="str">
        <f t="shared" si="0"/>
        <v> BBS 23 </v>
      </c>
      <c r="B19" s="2" t="str">
        <f t="shared" si="1"/>
        <v>I</v>
      </c>
      <c r="C19" s="18">
        <f t="shared" si="2"/>
        <v>42652.444000000003</v>
      </c>
      <c r="D19" s="15" t="str">
        <f t="shared" si="3"/>
        <v>vis</v>
      </c>
      <c r="E19" s="26">
        <f>VLOOKUP(C19,Active!C$21:E$969,3,FALSE)</f>
        <v>-1378.0070572069847</v>
      </c>
      <c r="F19" s="2" t="s">
        <v>126</v>
      </c>
      <c r="G19" s="15" t="str">
        <f t="shared" si="4"/>
        <v>42652.444</v>
      </c>
      <c r="H19" s="18">
        <f t="shared" si="5"/>
        <v>-1378</v>
      </c>
      <c r="I19" s="27" t="s">
        <v>215</v>
      </c>
      <c r="J19" s="28" t="s">
        <v>216</v>
      </c>
      <c r="K19" s="27">
        <v>-1378</v>
      </c>
      <c r="L19" s="27" t="s">
        <v>217</v>
      </c>
      <c r="M19" s="28" t="s">
        <v>190</v>
      </c>
      <c r="N19" s="28"/>
      <c r="O19" s="29" t="s">
        <v>191</v>
      </c>
      <c r="P19" s="29" t="s">
        <v>218</v>
      </c>
    </row>
    <row r="20" spans="1:16" ht="12.75" customHeight="1" thickBot="1" x14ac:dyDescent="0.25">
      <c r="A20" s="18" t="str">
        <f t="shared" si="0"/>
        <v> BBS 24 </v>
      </c>
      <c r="B20" s="2" t="str">
        <f t="shared" si="1"/>
        <v>I</v>
      </c>
      <c r="C20" s="18">
        <f t="shared" si="2"/>
        <v>42664.572999999997</v>
      </c>
      <c r="D20" s="15" t="str">
        <f t="shared" si="3"/>
        <v>vis</v>
      </c>
      <c r="E20" s="26">
        <f>VLOOKUP(C20,Active!C$21:E$969,3,FALSE)</f>
        <v>-1372.009939324239</v>
      </c>
      <c r="F20" s="2" t="s">
        <v>126</v>
      </c>
      <c r="G20" s="15" t="str">
        <f t="shared" si="4"/>
        <v>42664.573</v>
      </c>
      <c r="H20" s="18">
        <f t="shared" si="5"/>
        <v>-1372</v>
      </c>
      <c r="I20" s="27" t="s">
        <v>219</v>
      </c>
      <c r="J20" s="28" t="s">
        <v>220</v>
      </c>
      <c r="K20" s="27">
        <v>-1372</v>
      </c>
      <c r="L20" s="27" t="s">
        <v>221</v>
      </c>
      <c r="M20" s="28" t="s">
        <v>190</v>
      </c>
      <c r="N20" s="28"/>
      <c r="O20" s="29" t="s">
        <v>191</v>
      </c>
      <c r="P20" s="29" t="s">
        <v>222</v>
      </c>
    </row>
    <row r="21" spans="1:16" ht="12.75" customHeight="1" thickBot="1" x14ac:dyDescent="0.25">
      <c r="A21" s="18" t="str">
        <f t="shared" si="0"/>
        <v> BBS 24 </v>
      </c>
      <c r="B21" s="2" t="str">
        <f t="shared" si="1"/>
        <v>I</v>
      </c>
      <c r="C21" s="18">
        <f t="shared" si="2"/>
        <v>42729.279999999999</v>
      </c>
      <c r="D21" s="15" t="str">
        <f t="shared" si="3"/>
        <v>vis</v>
      </c>
      <c r="E21" s="26">
        <f>VLOOKUP(C21,Active!C$21:E$969,3,FALSE)</f>
        <v>-1340.0159161698944</v>
      </c>
      <c r="F21" s="2" t="s">
        <v>126</v>
      </c>
      <c r="G21" s="15" t="str">
        <f t="shared" si="4"/>
        <v>42729.280</v>
      </c>
      <c r="H21" s="18">
        <f t="shared" si="5"/>
        <v>-1340</v>
      </c>
      <c r="I21" s="27" t="s">
        <v>223</v>
      </c>
      <c r="J21" s="28" t="s">
        <v>224</v>
      </c>
      <c r="K21" s="27">
        <v>-1340</v>
      </c>
      <c r="L21" s="27" t="s">
        <v>225</v>
      </c>
      <c r="M21" s="28" t="s">
        <v>190</v>
      </c>
      <c r="N21" s="28"/>
      <c r="O21" s="29" t="s">
        <v>191</v>
      </c>
      <c r="P21" s="29" t="s">
        <v>222</v>
      </c>
    </row>
    <row r="22" spans="1:16" ht="12.75" customHeight="1" thickBot="1" x14ac:dyDescent="0.25">
      <c r="A22" s="18" t="str">
        <f t="shared" si="0"/>
        <v> BBS 24 </v>
      </c>
      <c r="B22" s="2" t="str">
        <f t="shared" si="1"/>
        <v>I</v>
      </c>
      <c r="C22" s="18">
        <f t="shared" si="2"/>
        <v>42741.421999999999</v>
      </c>
      <c r="D22" s="15" t="str">
        <f t="shared" si="3"/>
        <v>vis</v>
      </c>
      <c r="E22" s="26">
        <f>VLOOKUP(C22,Active!C$21:E$969,3,FALSE)</f>
        <v>-1334.0123705080641</v>
      </c>
      <c r="F22" s="2" t="s">
        <v>126</v>
      </c>
      <c r="G22" s="15" t="str">
        <f t="shared" si="4"/>
        <v>42741.422</v>
      </c>
      <c r="H22" s="18">
        <f t="shared" si="5"/>
        <v>-1334</v>
      </c>
      <c r="I22" s="27" t="s">
        <v>226</v>
      </c>
      <c r="J22" s="28" t="s">
        <v>227</v>
      </c>
      <c r="K22" s="27">
        <v>-1334</v>
      </c>
      <c r="L22" s="27" t="s">
        <v>228</v>
      </c>
      <c r="M22" s="28" t="s">
        <v>190</v>
      </c>
      <c r="N22" s="28"/>
      <c r="O22" s="29" t="s">
        <v>191</v>
      </c>
      <c r="P22" s="29" t="s">
        <v>222</v>
      </c>
    </row>
    <row r="23" spans="1:16" ht="12.75" customHeight="1" thickBot="1" x14ac:dyDescent="0.25">
      <c r="A23" s="18" t="str">
        <f t="shared" si="0"/>
        <v> BBS 26 </v>
      </c>
      <c r="B23" s="2" t="str">
        <f t="shared" si="1"/>
        <v>I</v>
      </c>
      <c r="C23" s="18">
        <f t="shared" si="2"/>
        <v>42832.444000000003</v>
      </c>
      <c r="D23" s="15" t="str">
        <f t="shared" si="3"/>
        <v>vis</v>
      </c>
      <c r="E23" s="26">
        <f>VLOOKUP(C23,Active!C$21:E$969,3,FALSE)</f>
        <v>-1289.0070391597587</v>
      </c>
      <c r="F23" s="2" t="s">
        <v>126</v>
      </c>
      <c r="G23" s="15" t="str">
        <f t="shared" si="4"/>
        <v>42832.444</v>
      </c>
      <c r="H23" s="18">
        <f t="shared" si="5"/>
        <v>-1289</v>
      </c>
      <c r="I23" s="27" t="s">
        <v>229</v>
      </c>
      <c r="J23" s="28" t="s">
        <v>230</v>
      </c>
      <c r="K23" s="27">
        <v>-1289</v>
      </c>
      <c r="L23" s="27" t="s">
        <v>217</v>
      </c>
      <c r="M23" s="28" t="s">
        <v>190</v>
      </c>
      <c r="N23" s="28"/>
      <c r="O23" s="29" t="s">
        <v>231</v>
      </c>
      <c r="P23" s="29" t="s">
        <v>232</v>
      </c>
    </row>
    <row r="24" spans="1:16" ht="12.75" customHeight="1" thickBot="1" x14ac:dyDescent="0.25">
      <c r="A24" s="18" t="str">
        <f t="shared" si="0"/>
        <v> BBS 30 </v>
      </c>
      <c r="B24" s="2" t="str">
        <f t="shared" si="1"/>
        <v>I</v>
      </c>
      <c r="C24" s="18">
        <f t="shared" si="2"/>
        <v>43028.610999999997</v>
      </c>
      <c r="D24" s="15" t="str">
        <f t="shared" si="3"/>
        <v>vis</v>
      </c>
      <c r="E24" s="26">
        <f>VLOOKUP(C24,Active!C$21:E$969,3,FALSE)</f>
        <v>-1192.0133361582607</v>
      </c>
      <c r="F24" s="2" t="s">
        <v>126</v>
      </c>
      <c r="G24" s="15" t="str">
        <f t="shared" si="4"/>
        <v>43028.611</v>
      </c>
      <c r="H24" s="18">
        <f t="shared" si="5"/>
        <v>-1192</v>
      </c>
      <c r="I24" s="27" t="s">
        <v>233</v>
      </c>
      <c r="J24" s="28" t="s">
        <v>234</v>
      </c>
      <c r="K24" s="27">
        <v>-1192</v>
      </c>
      <c r="L24" s="27" t="s">
        <v>235</v>
      </c>
      <c r="M24" s="28" t="s">
        <v>190</v>
      </c>
      <c r="N24" s="28"/>
      <c r="O24" s="29" t="s">
        <v>191</v>
      </c>
      <c r="P24" s="29" t="s">
        <v>236</v>
      </c>
    </row>
    <row r="25" spans="1:16" ht="12.75" customHeight="1" thickBot="1" x14ac:dyDescent="0.25">
      <c r="A25" s="18" t="str">
        <f t="shared" si="0"/>
        <v> BBS 32 </v>
      </c>
      <c r="B25" s="2" t="str">
        <f t="shared" si="1"/>
        <v>I</v>
      </c>
      <c r="C25" s="18">
        <f t="shared" si="2"/>
        <v>43188.411999999997</v>
      </c>
      <c r="D25" s="15" t="str">
        <f t="shared" si="3"/>
        <v>vis</v>
      </c>
      <c r="E25" s="26">
        <f>VLOOKUP(C25,Active!C$21:E$969,3,FALSE)</f>
        <v>-1113.000603469568</v>
      </c>
      <c r="F25" s="2" t="s">
        <v>126</v>
      </c>
      <c r="G25" s="15" t="str">
        <f t="shared" si="4"/>
        <v>43188.412</v>
      </c>
      <c r="H25" s="18">
        <f t="shared" si="5"/>
        <v>-1113</v>
      </c>
      <c r="I25" s="27" t="s">
        <v>237</v>
      </c>
      <c r="J25" s="28" t="s">
        <v>238</v>
      </c>
      <c r="K25" s="27">
        <v>-1113</v>
      </c>
      <c r="L25" s="27" t="s">
        <v>239</v>
      </c>
      <c r="M25" s="28" t="s">
        <v>190</v>
      </c>
      <c r="N25" s="28"/>
      <c r="O25" s="29" t="s">
        <v>196</v>
      </c>
      <c r="P25" s="29" t="s">
        <v>240</v>
      </c>
    </row>
    <row r="26" spans="1:16" ht="12.75" customHeight="1" thickBot="1" x14ac:dyDescent="0.25">
      <c r="A26" s="18" t="str">
        <f t="shared" si="0"/>
        <v> BBS 32 </v>
      </c>
      <c r="B26" s="2" t="str">
        <f t="shared" si="1"/>
        <v>I</v>
      </c>
      <c r="C26" s="18">
        <f t="shared" si="2"/>
        <v>43188.415999999997</v>
      </c>
      <c r="D26" s="15" t="str">
        <f t="shared" si="3"/>
        <v>vis</v>
      </c>
      <c r="E26" s="26">
        <f>VLOOKUP(C26,Active!C$21:E$969,3,FALSE)</f>
        <v>-1112.9986256913887</v>
      </c>
      <c r="F26" s="2" t="s">
        <v>126</v>
      </c>
      <c r="G26" s="15" t="str">
        <f t="shared" si="4"/>
        <v>43188.416</v>
      </c>
      <c r="H26" s="18">
        <f t="shared" si="5"/>
        <v>-1113</v>
      </c>
      <c r="I26" s="27" t="s">
        <v>241</v>
      </c>
      <c r="J26" s="28" t="s">
        <v>242</v>
      </c>
      <c r="K26" s="27">
        <v>-1113</v>
      </c>
      <c r="L26" s="27" t="s">
        <v>243</v>
      </c>
      <c r="M26" s="28" t="s">
        <v>190</v>
      </c>
      <c r="N26" s="28"/>
      <c r="O26" s="29" t="s">
        <v>231</v>
      </c>
      <c r="P26" s="29" t="s">
        <v>240</v>
      </c>
    </row>
    <row r="27" spans="1:16" ht="12.75" customHeight="1" thickBot="1" x14ac:dyDescent="0.25">
      <c r="A27" s="18" t="str">
        <f t="shared" si="0"/>
        <v> BBS 33 </v>
      </c>
      <c r="B27" s="2" t="str">
        <f t="shared" si="1"/>
        <v>I</v>
      </c>
      <c r="C27" s="18">
        <f t="shared" si="2"/>
        <v>43273.337</v>
      </c>
      <c r="D27" s="15" t="str">
        <f t="shared" si="3"/>
        <v>vis</v>
      </c>
      <c r="E27" s="26">
        <f>VLOOKUP(C27,Active!C$21:E$969,3,FALSE)</f>
        <v>-1071.0099005103407</v>
      </c>
      <c r="F27" s="2" t="s">
        <v>126</v>
      </c>
      <c r="G27" s="15" t="str">
        <f t="shared" si="4"/>
        <v>43273.337</v>
      </c>
      <c r="H27" s="18">
        <f t="shared" si="5"/>
        <v>-1071</v>
      </c>
      <c r="I27" s="27" t="s">
        <v>244</v>
      </c>
      <c r="J27" s="28" t="s">
        <v>245</v>
      </c>
      <c r="K27" s="27">
        <v>-1071</v>
      </c>
      <c r="L27" s="27" t="s">
        <v>221</v>
      </c>
      <c r="M27" s="28" t="s">
        <v>190</v>
      </c>
      <c r="N27" s="28"/>
      <c r="O27" s="29" t="s">
        <v>246</v>
      </c>
      <c r="P27" s="29" t="s">
        <v>247</v>
      </c>
    </row>
    <row r="28" spans="1:16" ht="12.75" customHeight="1" thickBot="1" x14ac:dyDescent="0.25">
      <c r="A28" s="18" t="str">
        <f t="shared" si="0"/>
        <v> BBS 36 </v>
      </c>
      <c r="B28" s="2" t="str">
        <f t="shared" si="1"/>
        <v>I</v>
      </c>
      <c r="C28" s="18">
        <f t="shared" si="2"/>
        <v>43534.239999999998</v>
      </c>
      <c r="D28" s="15" t="str">
        <f t="shared" si="3"/>
        <v>vis</v>
      </c>
      <c r="E28" s="26">
        <f>VLOOKUP(C28,Active!C$21:E$969,3,FALSE)</f>
        <v>-942.00783546270054</v>
      </c>
      <c r="F28" s="2" t="s">
        <v>126</v>
      </c>
      <c r="G28" s="15" t="str">
        <f t="shared" si="4"/>
        <v>43534.240</v>
      </c>
      <c r="H28" s="18">
        <f t="shared" si="5"/>
        <v>-942</v>
      </c>
      <c r="I28" s="27" t="s">
        <v>248</v>
      </c>
      <c r="J28" s="28" t="s">
        <v>249</v>
      </c>
      <c r="K28" s="27">
        <v>-942</v>
      </c>
      <c r="L28" s="27" t="s">
        <v>250</v>
      </c>
      <c r="M28" s="28" t="s">
        <v>190</v>
      </c>
      <c r="N28" s="28"/>
      <c r="O28" s="29" t="s">
        <v>191</v>
      </c>
      <c r="P28" s="29" t="s">
        <v>251</v>
      </c>
    </row>
    <row r="29" spans="1:16" ht="12.75" customHeight="1" thickBot="1" x14ac:dyDescent="0.25">
      <c r="A29" s="18" t="str">
        <f t="shared" si="0"/>
        <v> BBS 36 </v>
      </c>
      <c r="B29" s="2" t="str">
        <f t="shared" si="1"/>
        <v>I</v>
      </c>
      <c r="C29" s="18">
        <f t="shared" si="2"/>
        <v>43536.275000000001</v>
      </c>
      <c r="D29" s="15" t="str">
        <f t="shared" si="3"/>
        <v>vis</v>
      </c>
      <c r="E29" s="26">
        <f>VLOOKUP(C29,Active!C$21:E$969,3,FALSE)</f>
        <v>-941.00164081422042</v>
      </c>
      <c r="F29" s="2" t="s">
        <v>126</v>
      </c>
      <c r="G29" s="15" t="str">
        <f t="shared" si="4"/>
        <v>43536.275</v>
      </c>
      <c r="H29" s="18">
        <f t="shared" si="5"/>
        <v>-941</v>
      </c>
      <c r="I29" s="27" t="s">
        <v>252</v>
      </c>
      <c r="J29" s="28" t="s">
        <v>253</v>
      </c>
      <c r="K29" s="27">
        <v>-941</v>
      </c>
      <c r="L29" s="27" t="s">
        <v>127</v>
      </c>
      <c r="M29" s="28" t="s">
        <v>190</v>
      </c>
      <c r="N29" s="28"/>
      <c r="O29" s="29" t="s">
        <v>246</v>
      </c>
      <c r="P29" s="29" t="s">
        <v>251</v>
      </c>
    </row>
    <row r="30" spans="1:16" ht="12.75" customHeight="1" thickBot="1" x14ac:dyDescent="0.25">
      <c r="A30" s="18" t="str">
        <f t="shared" si="0"/>
        <v> BBS 36 </v>
      </c>
      <c r="B30" s="2" t="str">
        <f t="shared" si="1"/>
        <v>I</v>
      </c>
      <c r="C30" s="18">
        <f t="shared" si="2"/>
        <v>43544.358999999997</v>
      </c>
      <c r="D30" s="15" t="str">
        <f t="shared" si="3"/>
        <v>vis</v>
      </c>
      <c r="E30" s="26">
        <f>VLOOKUP(C30,Active!C$21:E$969,3,FALSE)</f>
        <v>-937.0045511148129</v>
      </c>
      <c r="F30" s="2" t="s">
        <v>126</v>
      </c>
      <c r="G30" s="15" t="str">
        <f t="shared" si="4"/>
        <v>43544.359</v>
      </c>
      <c r="H30" s="18">
        <f t="shared" si="5"/>
        <v>-937</v>
      </c>
      <c r="I30" s="27" t="s">
        <v>254</v>
      </c>
      <c r="J30" s="28" t="s">
        <v>255</v>
      </c>
      <c r="K30" s="27">
        <v>-937</v>
      </c>
      <c r="L30" s="27" t="s">
        <v>256</v>
      </c>
      <c r="M30" s="28" t="s">
        <v>190</v>
      </c>
      <c r="N30" s="28"/>
      <c r="O30" s="29" t="s">
        <v>246</v>
      </c>
      <c r="P30" s="29" t="s">
        <v>251</v>
      </c>
    </row>
    <row r="31" spans="1:16" ht="12.75" customHeight="1" thickBot="1" x14ac:dyDescent="0.25">
      <c r="A31" s="18" t="str">
        <f t="shared" si="0"/>
        <v> BBS 36 </v>
      </c>
      <c r="B31" s="2" t="str">
        <f t="shared" si="1"/>
        <v>I</v>
      </c>
      <c r="C31" s="18">
        <f t="shared" si="2"/>
        <v>43544.364999999998</v>
      </c>
      <c r="D31" s="15" t="str">
        <f t="shared" si="3"/>
        <v>vis</v>
      </c>
      <c r="E31" s="26">
        <f>VLOOKUP(C31,Active!C$21:E$969,3,FALSE)</f>
        <v>-937.00158444754402</v>
      </c>
      <c r="F31" s="2" t="s">
        <v>126</v>
      </c>
      <c r="G31" s="15" t="str">
        <f t="shared" si="4"/>
        <v>43544.365</v>
      </c>
      <c r="H31" s="18">
        <f t="shared" si="5"/>
        <v>-937</v>
      </c>
      <c r="I31" s="27" t="s">
        <v>257</v>
      </c>
      <c r="J31" s="28" t="s">
        <v>258</v>
      </c>
      <c r="K31" s="27">
        <v>-937</v>
      </c>
      <c r="L31" s="27" t="s">
        <v>127</v>
      </c>
      <c r="M31" s="28" t="s">
        <v>190</v>
      </c>
      <c r="N31" s="28"/>
      <c r="O31" s="29" t="s">
        <v>191</v>
      </c>
      <c r="P31" s="29" t="s">
        <v>251</v>
      </c>
    </row>
    <row r="32" spans="1:16" ht="12.75" customHeight="1" thickBot="1" x14ac:dyDescent="0.25">
      <c r="A32" s="18" t="str">
        <f t="shared" si="0"/>
        <v> BBS 36 </v>
      </c>
      <c r="B32" s="2" t="str">
        <f t="shared" si="1"/>
        <v>I</v>
      </c>
      <c r="C32" s="18">
        <f t="shared" si="2"/>
        <v>43544.366999999998</v>
      </c>
      <c r="D32" s="15" t="str">
        <f t="shared" si="3"/>
        <v>vis</v>
      </c>
      <c r="E32" s="26">
        <f>VLOOKUP(C32,Active!C$21:E$969,3,FALSE)</f>
        <v>-937.00059555845451</v>
      </c>
      <c r="F32" s="2" t="s">
        <v>126</v>
      </c>
      <c r="G32" s="15" t="str">
        <f t="shared" si="4"/>
        <v>43544.367</v>
      </c>
      <c r="H32" s="18">
        <f t="shared" si="5"/>
        <v>-937</v>
      </c>
      <c r="I32" s="27" t="s">
        <v>259</v>
      </c>
      <c r="J32" s="28" t="s">
        <v>260</v>
      </c>
      <c r="K32" s="27">
        <v>-937</v>
      </c>
      <c r="L32" s="27" t="s">
        <v>239</v>
      </c>
      <c r="M32" s="28" t="s">
        <v>190</v>
      </c>
      <c r="N32" s="28"/>
      <c r="O32" s="29" t="s">
        <v>231</v>
      </c>
      <c r="P32" s="29" t="s">
        <v>251</v>
      </c>
    </row>
    <row r="33" spans="1:16" ht="12.75" customHeight="1" thickBot="1" x14ac:dyDescent="0.25">
      <c r="A33" s="18" t="str">
        <f t="shared" si="0"/>
        <v> BBS 43 </v>
      </c>
      <c r="B33" s="2" t="str">
        <f t="shared" si="1"/>
        <v>I</v>
      </c>
      <c r="C33" s="18">
        <f t="shared" si="2"/>
        <v>43991.324000000001</v>
      </c>
      <c r="D33" s="15" t="str">
        <f t="shared" si="3"/>
        <v>vis</v>
      </c>
      <c r="E33" s="26">
        <f>VLOOKUP(C33,Active!C$21:E$969,3,FALSE)</f>
        <v>-716.00514518993145</v>
      </c>
      <c r="F33" s="2" t="s">
        <v>126</v>
      </c>
      <c r="G33" s="15" t="str">
        <f t="shared" si="4"/>
        <v>43991.324</v>
      </c>
      <c r="H33" s="18">
        <f t="shared" si="5"/>
        <v>-716</v>
      </c>
      <c r="I33" s="27" t="s">
        <v>261</v>
      </c>
      <c r="J33" s="28" t="s">
        <v>262</v>
      </c>
      <c r="K33" s="27">
        <v>-716</v>
      </c>
      <c r="L33" s="27" t="s">
        <v>263</v>
      </c>
      <c r="M33" s="28" t="s">
        <v>190</v>
      </c>
      <c r="N33" s="28"/>
      <c r="O33" s="29" t="s">
        <v>264</v>
      </c>
      <c r="P33" s="29" t="s">
        <v>265</v>
      </c>
    </row>
    <row r="34" spans="1:16" ht="12.75" customHeight="1" thickBot="1" x14ac:dyDescent="0.25">
      <c r="A34" s="18" t="str">
        <f t="shared" si="0"/>
        <v> BBS 44 </v>
      </c>
      <c r="B34" s="2" t="str">
        <f t="shared" si="1"/>
        <v>I</v>
      </c>
      <c r="C34" s="18">
        <f t="shared" si="2"/>
        <v>44090.438999999998</v>
      </c>
      <c r="D34" s="15" t="str">
        <f t="shared" si="3"/>
        <v>vis</v>
      </c>
      <c r="E34" s="26">
        <f>VLOOKUP(C34,Active!C$21:E$969,3,FALSE)</f>
        <v>-666.99827414131698</v>
      </c>
      <c r="F34" s="2" t="s">
        <v>126</v>
      </c>
      <c r="G34" s="15" t="str">
        <f t="shared" si="4"/>
        <v>44090.439</v>
      </c>
      <c r="H34" s="18">
        <f t="shared" si="5"/>
        <v>-667</v>
      </c>
      <c r="I34" s="27" t="s">
        <v>266</v>
      </c>
      <c r="J34" s="28" t="s">
        <v>267</v>
      </c>
      <c r="K34" s="27">
        <v>-667</v>
      </c>
      <c r="L34" s="27" t="s">
        <v>243</v>
      </c>
      <c r="M34" s="28" t="s">
        <v>190</v>
      </c>
      <c r="N34" s="28"/>
      <c r="O34" s="29" t="s">
        <v>191</v>
      </c>
      <c r="P34" s="29" t="s">
        <v>268</v>
      </c>
    </row>
    <row r="35" spans="1:16" ht="12.75" customHeight="1" thickBot="1" x14ac:dyDescent="0.25">
      <c r="A35" s="18" t="str">
        <f t="shared" si="0"/>
        <v> BBS 45 </v>
      </c>
      <c r="B35" s="2" t="str">
        <f t="shared" si="1"/>
        <v>I</v>
      </c>
      <c r="C35" s="18">
        <f t="shared" si="2"/>
        <v>44203.705000000002</v>
      </c>
      <c r="D35" s="15" t="str">
        <f t="shared" si="3"/>
        <v>vis</v>
      </c>
      <c r="E35" s="26">
        <f>VLOOKUP(C35,Active!C$21:E$969,3,FALSE)</f>
        <v>-610.99451834055378</v>
      </c>
      <c r="F35" s="2" t="s">
        <v>126</v>
      </c>
      <c r="G35" s="15" t="str">
        <f t="shared" si="4"/>
        <v>44203.705</v>
      </c>
      <c r="H35" s="18">
        <f t="shared" si="5"/>
        <v>-611</v>
      </c>
      <c r="I35" s="27" t="s">
        <v>269</v>
      </c>
      <c r="J35" s="28" t="s">
        <v>270</v>
      </c>
      <c r="K35" s="27">
        <v>-611</v>
      </c>
      <c r="L35" s="27" t="s">
        <v>271</v>
      </c>
      <c r="M35" s="28" t="s">
        <v>190</v>
      </c>
      <c r="N35" s="28"/>
      <c r="O35" s="29" t="s">
        <v>191</v>
      </c>
      <c r="P35" s="29" t="s">
        <v>272</v>
      </c>
    </row>
    <row r="36" spans="1:16" ht="12.75" customHeight="1" thickBot="1" x14ac:dyDescent="0.25">
      <c r="A36" s="18" t="str">
        <f t="shared" si="0"/>
        <v> BBS 46 </v>
      </c>
      <c r="B36" s="2" t="str">
        <f t="shared" si="1"/>
        <v>I</v>
      </c>
      <c r="C36" s="18">
        <f t="shared" si="2"/>
        <v>44266.400000000001</v>
      </c>
      <c r="D36" s="15" t="str">
        <f t="shared" si="3"/>
        <v>vis</v>
      </c>
      <c r="E36" s="26">
        <f>VLOOKUP(C36,Active!C$21:E$969,3,FALSE)</f>
        <v>-579.99531761016044</v>
      </c>
      <c r="F36" s="2" t="s">
        <v>126</v>
      </c>
      <c r="G36" s="15" t="str">
        <f t="shared" si="4"/>
        <v>44266.400</v>
      </c>
      <c r="H36" s="18">
        <f t="shared" si="5"/>
        <v>-580</v>
      </c>
      <c r="I36" s="27" t="s">
        <v>273</v>
      </c>
      <c r="J36" s="28" t="s">
        <v>274</v>
      </c>
      <c r="K36" s="27">
        <v>-580</v>
      </c>
      <c r="L36" s="27" t="s">
        <v>275</v>
      </c>
      <c r="M36" s="28" t="s">
        <v>190</v>
      </c>
      <c r="N36" s="28"/>
      <c r="O36" s="29" t="s">
        <v>191</v>
      </c>
      <c r="P36" s="29" t="s">
        <v>276</v>
      </c>
    </row>
    <row r="37" spans="1:16" ht="12.75" customHeight="1" thickBot="1" x14ac:dyDescent="0.25">
      <c r="A37" s="18" t="str">
        <f t="shared" si="0"/>
        <v> BBS 47 </v>
      </c>
      <c r="B37" s="2" t="str">
        <f t="shared" si="1"/>
        <v>I</v>
      </c>
      <c r="C37" s="18">
        <f t="shared" si="2"/>
        <v>44359.411999999997</v>
      </c>
      <c r="D37" s="15" t="str">
        <f t="shared" si="3"/>
        <v>vis</v>
      </c>
      <c r="E37" s="26">
        <f>VLOOKUP(C37,Active!C$21:E$969,3,FALSE)</f>
        <v>-534.00604161789295</v>
      </c>
      <c r="F37" s="2" t="s">
        <v>126</v>
      </c>
      <c r="G37" s="15" t="str">
        <f t="shared" si="4"/>
        <v>44359.412</v>
      </c>
      <c r="H37" s="18">
        <f t="shared" si="5"/>
        <v>-534</v>
      </c>
      <c r="I37" s="27" t="s">
        <v>277</v>
      </c>
      <c r="J37" s="28" t="s">
        <v>278</v>
      </c>
      <c r="K37" s="27">
        <v>-534</v>
      </c>
      <c r="L37" s="27" t="s">
        <v>279</v>
      </c>
      <c r="M37" s="28" t="s">
        <v>190</v>
      </c>
      <c r="N37" s="28"/>
      <c r="O37" s="29" t="s">
        <v>191</v>
      </c>
      <c r="P37" s="29" t="s">
        <v>280</v>
      </c>
    </row>
    <row r="38" spans="1:16" ht="12.75" customHeight="1" thickBot="1" x14ac:dyDescent="0.25">
      <c r="A38" s="18" t="str">
        <f t="shared" si="0"/>
        <v> BBS 51 </v>
      </c>
      <c r="B38" s="2" t="str">
        <f t="shared" si="1"/>
        <v>I</v>
      </c>
      <c r="C38" s="18">
        <f t="shared" si="2"/>
        <v>44563.707999999999</v>
      </c>
      <c r="D38" s="15" t="str">
        <f t="shared" si="3"/>
        <v>vis</v>
      </c>
      <c r="E38" s="26">
        <f>VLOOKUP(C38,Active!C$21:E$969,3,FALSE)</f>
        <v>-432.99299891246937</v>
      </c>
      <c r="F38" s="2" t="s">
        <v>126</v>
      </c>
      <c r="G38" s="15" t="str">
        <f t="shared" si="4"/>
        <v>44563.708</v>
      </c>
      <c r="H38" s="18">
        <f t="shared" si="5"/>
        <v>-433</v>
      </c>
      <c r="I38" s="27" t="s">
        <v>281</v>
      </c>
      <c r="J38" s="28" t="s">
        <v>282</v>
      </c>
      <c r="K38" s="27">
        <v>-433</v>
      </c>
      <c r="L38" s="27" t="s">
        <v>283</v>
      </c>
      <c r="M38" s="28" t="s">
        <v>190</v>
      </c>
      <c r="N38" s="28"/>
      <c r="O38" s="29" t="s">
        <v>191</v>
      </c>
      <c r="P38" s="29" t="s">
        <v>284</v>
      </c>
    </row>
    <row r="39" spans="1:16" ht="12.75" customHeight="1" thickBot="1" x14ac:dyDescent="0.25">
      <c r="A39" s="18" t="str">
        <f t="shared" si="0"/>
        <v> BRNO 26 </v>
      </c>
      <c r="B39" s="2" t="str">
        <f t="shared" si="1"/>
        <v>I</v>
      </c>
      <c r="C39" s="18">
        <f t="shared" si="2"/>
        <v>44634.483999999997</v>
      </c>
      <c r="D39" s="15" t="str">
        <f t="shared" si="3"/>
        <v>vis</v>
      </c>
      <c r="E39" s="26">
        <f>VLOOKUP(C39,Active!C$21:E$969,3,FALSE)</f>
        <v>-397.99819181630119</v>
      </c>
      <c r="F39" s="2" t="s">
        <v>126</v>
      </c>
      <c r="G39" s="15" t="str">
        <f t="shared" si="4"/>
        <v>44634.484</v>
      </c>
      <c r="H39" s="18">
        <f t="shared" si="5"/>
        <v>-398</v>
      </c>
      <c r="I39" s="27" t="s">
        <v>285</v>
      </c>
      <c r="J39" s="28" t="s">
        <v>286</v>
      </c>
      <c r="K39" s="27">
        <v>-398</v>
      </c>
      <c r="L39" s="27" t="s">
        <v>287</v>
      </c>
      <c r="M39" s="28" t="s">
        <v>190</v>
      </c>
      <c r="N39" s="28"/>
      <c r="O39" s="29" t="s">
        <v>288</v>
      </c>
      <c r="P39" s="29" t="s">
        <v>289</v>
      </c>
    </row>
    <row r="40" spans="1:16" ht="12.75" customHeight="1" thickBot="1" x14ac:dyDescent="0.25">
      <c r="A40" s="18" t="str">
        <f t="shared" si="0"/>
        <v> BRNO 23 </v>
      </c>
      <c r="B40" s="2" t="str">
        <f t="shared" si="1"/>
        <v>I</v>
      </c>
      <c r="C40" s="18">
        <f t="shared" si="2"/>
        <v>44636.508999999998</v>
      </c>
      <c r="D40" s="15" t="str">
        <f t="shared" si="3"/>
        <v>vis</v>
      </c>
      <c r="E40" s="26">
        <f>VLOOKUP(C40,Active!C$21:E$969,3,FALSE)</f>
        <v>-396.99694161326914</v>
      </c>
      <c r="F40" s="2" t="s">
        <v>126</v>
      </c>
      <c r="G40" s="15" t="str">
        <f t="shared" si="4"/>
        <v>44636.509</v>
      </c>
      <c r="H40" s="18">
        <f t="shared" si="5"/>
        <v>-397</v>
      </c>
      <c r="I40" s="27" t="s">
        <v>290</v>
      </c>
      <c r="J40" s="28" t="s">
        <v>291</v>
      </c>
      <c r="K40" s="27">
        <v>-397</v>
      </c>
      <c r="L40" s="27" t="s">
        <v>292</v>
      </c>
      <c r="M40" s="28" t="s">
        <v>190</v>
      </c>
      <c r="N40" s="28"/>
      <c r="O40" s="29" t="s">
        <v>293</v>
      </c>
      <c r="P40" s="29" t="s">
        <v>294</v>
      </c>
    </row>
    <row r="41" spans="1:16" ht="12.75" customHeight="1" thickBot="1" x14ac:dyDescent="0.25">
      <c r="A41" s="18" t="str">
        <f t="shared" si="0"/>
        <v> BRNO 23 </v>
      </c>
      <c r="B41" s="2" t="str">
        <f t="shared" si="1"/>
        <v>I</v>
      </c>
      <c r="C41" s="18">
        <f t="shared" si="2"/>
        <v>44638.52</v>
      </c>
      <c r="D41" s="15" t="str">
        <f t="shared" si="3"/>
        <v>vis</v>
      </c>
      <c r="E41" s="26">
        <f>VLOOKUP(C41,Active!C$21:E$969,3,FALSE)</f>
        <v>-396.00261363386443</v>
      </c>
      <c r="F41" s="2" t="s">
        <v>126</v>
      </c>
      <c r="G41" s="15" t="str">
        <f t="shared" si="4"/>
        <v>44638.520</v>
      </c>
      <c r="H41" s="18">
        <f t="shared" si="5"/>
        <v>-396</v>
      </c>
      <c r="I41" s="27" t="s">
        <v>295</v>
      </c>
      <c r="J41" s="28" t="s">
        <v>296</v>
      </c>
      <c r="K41" s="27">
        <v>-396</v>
      </c>
      <c r="L41" s="27" t="s">
        <v>297</v>
      </c>
      <c r="M41" s="28" t="s">
        <v>190</v>
      </c>
      <c r="N41" s="28"/>
      <c r="O41" s="29" t="s">
        <v>293</v>
      </c>
      <c r="P41" s="29" t="s">
        <v>294</v>
      </c>
    </row>
    <row r="42" spans="1:16" ht="12.75" customHeight="1" thickBot="1" x14ac:dyDescent="0.25">
      <c r="A42" s="18" t="str">
        <f t="shared" si="0"/>
        <v> BBS 53 </v>
      </c>
      <c r="B42" s="2" t="str">
        <f t="shared" si="1"/>
        <v>I</v>
      </c>
      <c r="C42" s="18">
        <f t="shared" si="2"/>
        <v>44648.642</v>
      </c>
      <c r="D42" s="15" t="str">
        <f t="shared" si="3"/>
        <v>vis</v>
      </c>
      <c r="E42" s="26">
        <f>VLOOKUP(C42,Active!C$21:E$969,3,FALSE)</f>
        <v>-390.99784595234064</v>
      </c>
      <c r="F42" s="2" t="s">
        <v>126</v>
      </c>
      <c r="G42" s="15" t="str">
        <f t="shared" si="4"/>
        <v>44648.642</v>
      </c>
      <c r="H42" s="18">
        <f t="shared" si="5"/>
        <v>-391</v>
      </c>
      <c r="I42" s="27" t="s">
        <v>298</v>
      </c>
      <c r="J42" s="28" t="s">
        <v>299</v>
      </c>
      <c r="K42" s="27">
        <v>-391</v>
      </c>
      <c r="L42" s="27" t="s">
        <v>287</v>
      </c>
      <c r="M42" s="28" t="s">
        <v>190</v>
      </c>
      <c r="N42" s="28"/>
      <c r="O42" s="29" t="s">
        <v>191</v>
      </c>
      <c r="P42" s="29" t="s">
        <v>300</v>
      </c>
    </row>
    <row r="43" spans="1:16" ht="12.75" customHeight="1" thickBot="1" x14ac:dyDescent="0.25">
      <c r="A43" s="18" t="str">
        <f t="shared" ref="A43:A74" si="6">P43</f>
        <v> BBS 54 </v>
      </c>
      <c r="B43" s="2" t="str">
        <f t="shared" ref="B43:B74" si="7">IF(H43=INT(H43),"I","II")</f>
        <v>I</v>
      </c>
      <c r="C43" s="18">
        <f t="shared" ref="C43:C74" si="8">1*G43</f>
        <v>44713.332000000002</v>
      </c>
      <c r="D43" s="15" t="str">
        <f t="shared" ref="D43:D74" si="9">VLOOKUP(F43,I$1:J$5,2,FALSE)</f>
        <v>vis</v>
      </c>
      <c r="E43" s="26">
        <f>VLOOKUP(C43,Active!C$21:E$969,3,FALSE)</f>
        <v>-359.0122283552559</v>
      </c>
      <c r="F43" s="2" t="s">
        <v>126</v>
      </c>
      <c r="G43" s="15" t="str">
        <f t="shared" ref="G43:G74" si="10">MID(I43,3,LEN(I43)-3)</f>
        <v>44713.332</v>
      </c>
      <c r="H43" s="18">
        <f t="shared" ref="H43:H74" si="11">1*K43</f>
        <v>-359</v>
      </c>
      <c r="I43" s="27" t="s">
        <v>301</v>
      </c>
      <c r="J43" s="28" t="s">
        <v>302</v>
      </c>
      <c r="K43" s="27">
        <v>-359</v>
      </c>
      <c r="L43" s="27" t="s">
        <v>228</v>
      </c>
      <c r="M43" s="28" t="s">
        <v>190</v>
      </c>
      <c r="N43" s="28"/>
      <c r="O43" s="29" t="s">
        <v>303</v>
      </c>
      <c r="P43" s="29" t="s">
        <v>304</v>
      </c>
    </row>
    <row r="44" spans="1:16" ht="12.75" customHeight="1" thickBot="1" x14ac:dyDescent="0.25">
      <c r="A44" s="18" t="str">
        <f t="shared" si="6"/>
        <v> BBS 54 </v>
      </c>
      <c r="B44" s="2" t="str">
        <f t="shared" si="7"/>
        <v>I</v>
      </c>
      <c r="C44" s="18">
        <f t="shared" si="8"/>
        <v>44713.345999999998</v>
      </c>
      <c r="D44" s="15" t="str">
        <f t="shared" si="9"/>
        <v>vis</v>
      </c>
      <c r="E44" s="26">
        <f>VLOOKUP(C44,Active!C$21:E$969,3,FALSE)</f>
        <v>-359.00530613163221</v>
      </c>
      <c r="F44" s="2" t="s">
        <v>126</v>
      </c>
      <c r="G44" s="15" t="str">
        <f t="shared" si="10"/>
        <v>44713.346</v>
      </c>
      <c r="H44" s="18">
        <f t="shared" si="11"/>
        <v>-359</v>
      </c>
      <c r="I44" s="27" t="s">
        <v>305</v>
      </c>
      <c r="J44" s="28" t="s">
        <v>306</v>
      </c>
      <c r="K44" s="27">
        <v>-359</v>
      </c>
      <c r="L44" s="27" t="s">
        <v>307</v>
      </c>
      <c r="M44" s="28" t="s">
        <v>190</v>
      </c>
      <c r="N44" s="28"/>
      <c r="O44" s="29" t="s">
        <v>191</v>
      </c>
      <c r="P44" s="29" t="s">
        <v>304</v>
      </c>
    </row>
    <row r="45" spans="1:16" ht="12.75" customHeight="1" thickBot="1" x14ac:dyDescent="0.25">
      <c r="A45" s="18" t="str">
        <f t="shared" si="6"/>
        <v> BBS 54 </v>
      </c>
      <c r="B45" s="2" t="str">
        <f t="shared" si="7"/>
        <v>I</v>
      </c>
      <c r="C45" s="18">
        <f t="shared" si="8"/>
        <v>44713.372000000003</v>
      </c>
      <c r="D45" s="15" t="str">
        <f t="shared" si="9"/>
        <v>vis</v>
      </c>
      <c r="E45" s="26">
        <f>VLOOKUP(C45,Active!C$21:E$969,3,FALSE)</f>
        <v>-358.99245057346718</v>
      </c>
      <c r="F45" s="2" t="s">
        <v>126</v>
      </c>
      <c r="G45" s="15" t="str">
        <f t="shared" si="10"/>
        <v>44713.372</v>
      </c>
      <c r="H45" s="18">
        <f t="shared" si="11"/>
        <v>-359</v>
      </c>
      <c r="I45" s="27" t="s">
        <v>308</v>
      </c>
      <c r="J45" s="28" t="s">
        <v>309</v>
      </c>
      <c r="K45" s="27">
        <v>-359</v>
      </c>
      <c r="L45" s="27" t="s">
        <v>310</v>
      </c>
      <c r="M45" s="28" t="s">
        <v>190</v>
      </c>
      <c r="N45" s="28"/>
      <c r="O45" s="29" t="s">
        <v>246</v>
      </c>
      <c r="P45" s="29" t="s">
        <v>304</v>
      </c>
    </row>
    <row r="46" spans="1:16" ht="12.75" customHeight="1" thickBot="1" x14ac:dyDescent="0.25">
      <c r="A46" s="18" t="str">
        <f t="shared" si="6"/>
        <v> BBS 54 </v>
      </c>
      <c r="B46" s="2" t="str">
        <f t="shared" si="7"/>
        <v>I</v>
      </c>
      <c r="C46" s="18">
        <f t="shared" si="8"/>
        <v>44717.387999999999</v>
      </c>
      <c r="D46" s="15" t="str">
        <f t="shared" si="9"/>
        <v>vis</v>
      </c>
      <c r="E46" s="26">
        <f>VLOOKUP(C46,Active!C$21:E$969,3,FALSE)</f>
        <v>-357.00676128192663</v>
      </c>
      <c r="F46" s="2" t="s">
        <v>126</v>
      </c>
      <c r="G46" s="15" t="str">
        <f t="shared" si="10"/>
        <v>44717.388</v>
      </c>
      <c r="H46" s="18">
        <f t="shared" si="11"/>
        <v>-357</v>
      </c>
      <c r="I46" s="27" t="s">
        <v>311</v>
      </c>
      <c r="J46" s="28" t="s">
        <v>312</v>
      </c>
      <c r="K46" s="27">
        <v>-357</v>
      </c>
      <c r="L46" s="27" t="s">
        <v>217</v>
      </c>
      <c r="M46" s="28" t="s">
        <v>190</v>
      </c>
      <c r="N46" s="28"/>
      <c r="O46" s="29" t="s">
        <v>191</v>
      </c>
      <c r="P46" s="29" t="s">
        <v>304</v>
      </c>
    </row>
    <row r="47" spans="1:16" ht="12.75" customHeight="1" thickBot="1" x14ac:dyDescent="0.25">
      <c r="A47" s="18" t="str">
        <f t="shared" si="6"/>
        <v> BBS 57 </v>
      </c>
      <c r="B47" s="2" t="str">
        <f t="shared" si="7"/>
        <v>I</v>
      </c>
      <c r="C47" s="18">
        <f t="shared" si="8"/>
        <v>44919.652999999998</v>
      </c>
      <c r="D47" s="15" t="str">
        <f t="shared" si="9"/>
        <v>vis</v>
      </c>
      <c r="E47" s="26">
        <f>VLOOKUP(C47,Active!C$21:E$969,3,FALSE)</f>
        <v>-256.99793544680392</v>
      </c>
      <c r="F47" s="2" t="s">
        <v>126</v>
      </c>
      <c r="G47" s="15" t="str">
        <f t="shared" si="10"/>
        <v>44919.653</v>
      </c>
      <c r="H47" s="18">
        <f t="shared" si="11"/>
        <v>-257</v>
      </c>
      <c r="I47" s="27" t="s">
        <v>313</v>
      </c>
      <c r="J47" s="28" t="s">
        <v>314</v>
      </c>
      <c r="K47" s="27">
        <v>-257</v>
      </c>
      <c r="L47" s="27" t="s">
        <v>287</v>
      </c>
      <c r="M47" s="28" t="s">
        <v>190</v>
      </c>
      <c r="N47" s="28"/>
      <c r="O47" s="29" t="s">
        <v>191</v>
      </c>
      <c r="P47" s="29" t="s">
        <v>315</v>
      </c>
    </row>
    <row r="48" spans="1:16" ht="12.75" customHeight="1" thickBot="1" x14ac:dyDescent="0.25">
      <c r="A48" s="18" t="str">
        <f t="shared" si="6"/>
        <v> BBS 58 </v>
      </c>
      <c r="B48" s="2" t="str">
        <f t="shared" si="7"/>
        <v>I</v>
      </c>
      <c r="C48" s="18">
        <f t="shared" si="8"/>
        <v>44986.383000000002</v>
      </c>
      <c r="D48" s="15" t="str">
        <f t="shared" si="9"/>
        <v>vis</v>
      </c>
      <c r="E48" s="26">
        <f>VLOOKUP(C48,Active!C$21:E$969,3,FALSE)</f>
        <v>-224.00365097851684</v>
      </c>
      <c r="F48" s="2" t="s">
        <v>126</v>
      </c>
      <c r="G48" s="15" t="str">
        <f t="shared" si="10"/>
        <v>44986.383</v>
      </c>
      <c r="H48" s="18">
        <f t="shared" si="11"/>
        <v>-224</v>
      </c>
      <c r="I48" s="27" t="s">
        <v>316</v>
      </c>
      <c r="J48" s="28" t="s">
        <v>317</v>
      </c>
      <c r="K48" s="27">
        <v>-224</v>
      </c>
      <c r="L48" s="27" t="s">
        <v>199</v>
      </c>
      <c r="M48" s="28" t="s">
        <v>190</v>
      </c>
      <c r="N48" s="28"/>
      <c r="O48" s="29" t="s">
        <v>318</v>
      </c>
      <c r="P48" s="29" t="s">
        <v>319</v>
      </c>
    </row>
    <row r="49" spans="1:16" ht="12.75" customHeight="1" thickBot="1" x14ac:dyDescent="0.25">
      <c r="A49" s="18" t="str">
        <f t="shared" si="6"/>
        <v> BBS 60 </v>
      </c>
      <c r="B49" s="2" t="str">
        <f t="shared" si="7"/>
        <v>I</v>
      </c>
      <c r="C49" s="18">
        <f t="shared" si="8"/>
        <v>45077.404000000002</v>
      </c>
      <c r="D49" s="15" t="str">
        <f t="shared" si="9"/>
        <v>vis</v>
      </c>
      <c r="E49" s="26">
        <f>VLOOKUP(C49,Active!C$21:E$969,3,FALSE)</f>
        <v>-178.99881407475795</v>
      </c>
      <c r="F49" s="2" t="s">
        <v>126</v>
      </c>
      <c r="G49" s="15" t="str">
        <f t="shared" si="10"/>
        <v>45077.404</v>
      </c>
      <c r="H49" s="18">
        <f t="shared" si="11"/>
        <v>-179</v>
      </c>
      <c r="I49" s="27" t="s">
        <v>320</v>
      </c>
      <c r="J49" s="28" t="s">
        <v>321</v>
      </c>
      <c r="K49" s="27">
        <v>-179</v>
      </c>
      <c r="L49" s="27" t="s">
        <v>322</v>
      </c>
      <c r="M49" s="28" t="s">
        <v>190</v>
      </c>
      <c r="N49" s="28"/>
      <c r="O49" s="29" t="s">
        <v>246</v>
      </c>
      <c r="P49" s="29" t="s">
        <v>323</v>
      </c>
    </row>
    <row r="50" spans="1:16" ht="12.75" customHeight="1" thickBot="1" x14ac:dyDescent="0.25">
      <c r="A50" s="18" t="str">
        <f t="shared" si="6"/>
        <v> BBS 60 </v>
      </c>
      <c r="B50" s="2" t="str">
        <f t="shared" si="7"/>
        <v>I</v>
      </c>
      <c r="C50" s="18">
        <f t="shared" si="8"/>
        <v>45077.406000000003</v>
      </c>
      <c r="D50" s="15" t="str">
        <f t="shared" si="9"/>
        <v>vis</v>
      </c>
      <c r="E50" s="26">
        <f>VLOOKUP(C50,Active!C$21:E$969,3,FALSE)</f>
        <v>-178.99782518566832</v>
      </c>
      <c r="F50" s="2" t="s">
        <v>126</v>
      </c>
      <c r="G50" s="15" t="str">
        <f t="shared" si="10"/>
        <v>45077.406</v>
      </c>
      <c r="H50" s="18">
        <f t="shared" si="11"/>
        <v>-179</v>
      </c>
      <c r="I50" s="27" t="s">
        <v>324</v>
      </c>
      <c r="J50" s="28" t="s">
        <v>325</v>
      </c>
      <c r="K50" s="27">
        <v>-179</v>
      </c>
      <c r="L50" s="27" t="s">
        <v>287</v>
      </c>
      <c r="M50" s="28" t="s">
        <v>190</v>
      </c>
      <c r="N50" s="28"/>
      <c r="O50" s="29" t="s">
        <v>191</v>
      </c>
      <c r="P50" s="29" t="s">
        <v>323</v>
      </c>
    </row>
    <row r="51" spans="1:16" ht="12.75" customHeight="1" thickBot="1" x14ac:dyDescent="0.25">
      <c r="A51" s="18" t="str">
        <f t="shared" si="6"/>
        <v> BBS 64 </v>
      </c>
      <c r="B51" s="2" t="str">
        <f t="shared" si="7"/>
        <v>I</v>
      </c>
      <c r="C51" s="18">
        <f t="shared" si="8"/>
        <v>45346.391000000003</v>
      </c>
      <c r="D51" s="15" t="str">
        <f t="shared" si="9"/>
        <v>vis</v>
      </c>
      <c r="E51" s="26">
        <f>VLOOKUP(C51,Active!C$21:E$969,3,FALSE)</f>
        <v>-45.999659327706624</v>
      </c>
      <c r="F51" s="2" t="s">
        <v>126</v>
      </c>
      <c r="G51" s="15" t="str">
        <f t="shared" si="10"/>
        <v>45346.391</v>
      </c>
      <c r="H51" s="18">
        <f t="shared" si="11"/>
        <v>-46</v>
      </c>
      <c r="I51" s="27" t="s">
        <v>329</v>
      </c>
      <c r="J51" s="28" t="s">
        <v>330</v>
      </c>
      <c r="K51" s="27">
        <v>-46</v>
      </c>
      <c r="L51" s="27" t="s">
        <v>331</v>
      </c>
      <c r="M51" s="28" t="s">
        <v>190</v>
      </c>
      <c r="N51" s="28"/>
      <c r="O51" s="29" t="s">
        <v>231</v>
      </c>
      <c r="P51" s="29" t="s">
        <v>328</v>
      </c>
    </row>
    <row r="52" spans="1:16" ht="12.75" customHeight="1" thickBot="1" x14ac:dyDescent="0.25">
      <c r="A52" s="18" t="str">
        <f t="shared" si="6"/>
        <v> BBS 67 </v>
      </c>
      <c r="B52" s="2" t="str">
        <f t="shared" si="7"/>
        <v>I</v>
      </c>
      <c r="C52" s="18">
        <f t="shared" si="8"/>
        <v>45435.366999999998</v>
      </c>
      <c r="D52" s="15" t="str">
        <f t="shared" si="9"/>
        <v>vis</v>
      </c>
      <c r="E52" s="26">
        <f>VLOOKUP(C52,Active!C$21:E$969,3,FALSE)</f>
        <v>-2.0059615178758756</v>
      </c>
      <c r="F52" s="2" t="s">
        <v>126</v>
      </c>
      <c r="G52" s="15" t="str">
        <f t="shared" si="10"/>
        <v>45435.367</v>
      </c>
      <c r="H52" s="18">
        <f t="shared" si="11"/>
        <v>-2</v>
      </c>
      <c r="I52" s="27" t="s">
        <v>332</v>
      </c>
      <c r="J52" s="28" t="s">
        <v>333</v>
      </c>
      <c r="K52" s="27">
        <v>-2</v>
      </c>
      <c r="L52" s="27" t="s">
        <v>279</v>
      </c>
      <c r="M52" s="28" t="s">
        <v>190</v>
      </c>
      <c r="N52" s="28"/>
      <c r="O52" s="29" t="s">
        <v>334</v>
      </c>
      <c r="P52" s="29" t="s">
        <v>335</v>
      </c>
    </row>
    <row r="53" spans="1:16" ht="12.75" customHeight="1" thickBot="1" x14ac:dyDescent="0.25">
      <c r="A53" s="18" t="str">
        <f t="shared" si="6"/>
        <v> BBS 67 </v>
      </c>
      <c r="B53" s="2" t="str">
        <f t="shared" si="7"/>
        <v>I</v>
      </c>
      <c r="C53" s="18">
        <f t="shared" si="8"/>
        <v>45437.413999999997</v>
      </c>
      <c r="D53" s="15" t="str">
        <f t="shared" si="9"/>
        <v>vis</v>
      </c>
      <c r="E53" s="26">
        <f>VLOOKUP(C53,Active!C$21:E$969,3,FALSE)</f>
        <v>-0.99383353486169634</v>
      </c>
      <c r="F53" s="2" t="s">
        <v>126</v>
      </c>
      <c r="G53" s="15" t="str">
        <f t="shared" si="10"/>
        <v>45437.414</v>
      </c>
      <c r="H53" s="18">
        <f t="shared" si="11"/>
        <v>-1</v>
      </c>
      <c r="I53" s="27" t="s">
        <v>336</v>
      </c>
      <c r="J53" s="28" t="s">
        <v>337</v>
      </c>
      <c r="K53" s="27">
        <v>-1</v>
      </c>
      <c r="L53" s="27" t="s">
        <v>338</v>
      </c>
      <c r="M53" s="28" t="s">
        <v>190</v>
      </c>
      <c r="N53" s="28"/>
      <c r="O53" s="29" t="s">
        <v>334</v>
      </c>
      <c r="P53" s="29" t="s">
        <v>335</v>
      </c>
    </row>
    <row r="54" spans="1:16" ht="12.75" customHeight="1" thickBot="1" x14ac:dyDescent="0.25">
      <c r="A54" s="18" t="str">
        <f t="shared" si="6"/>
        <v> BBS 66 </v>
      </c>
      <c r="B54" s="2" t="str">
        <f t="shared" si="7"/>
        <v>I</v>
      </c>
      <c r="C54" s="18">
        <f t="shared" si="8"/>
        <v>45439.423999999999</v>
      </c>
      <c r="D54" s="15" t="str">
        <f t="shared" si="9"/>
        <v>vis</v>
      </c>
      <c r="E54" s="26">
        <f>VLOOKUP(C54,Active!C$21:E$969,3,FALSE)</f>
        <v>0</v>
      </c>
      <c r="F54" s="2" t="s">
        <v>126</v>
      </c>
      <c r="G54" s="15" t="str">
        <f t="shared" si="10"/>
        <v>45439.424</v>
      </c>
      <c r="H54" s="18">
        <f t="shared" si="11"/>
        <v>0</v>
      </c>
      <c r="I54" s="27" t="s">
        <v>339</v>
      </c>
      <c r="J54" s="28" t="s">
        <v>340</v>
      </c>
      <c r="K54" s="27">
        <v>0</v>
      </c>
      <c r="L54" s="27" t="s">
        <v>341</v>
      </c>
      <c r="M54" s="28" t="s">
        <v>190</v>
      </c>
      <c r="N54" s="28"/>
      <c r="O54" s="29" t="s">
        <v>231</v>
      </c>
      <c r="P54" s="29" t="s">
        <v>342</v>
      </c>
    </row>
    <row r="55" spans="1:16" ht="12.75" customHeight="1" thickBot="1" x14ac:dyDescent="0.25">
      <c r="A55" s="18" t="str">
        <f t="shared" si="6"/>
        <v> BRNO 26 </v>
      </c>
      <c r="B55" s="2" t="str">
        <f t="shared" si="7"/>
        <v>I</v>
      </c>
      <c r="C55" s="18">
        <f t="shared" si="8"/>
        <v>45623.466999999997</v>
      </c>
      <c r="D55" s="15" t="str">
        <f t="shared" si="9"/>
        <v>vis</v>
      </c>
      <c r="E55" s="26">
        <f>VLOOKUP(C55,Active!C$21:E$969,3,FALSE)</f>
        <v>90.999057341474455</v>
      </c>
      <c r="F55" s="2" t="s">
        <v>126</v>
      </c>
      <c r="G55" s="15" t="str">
        <f t="shared" si="10"/>
        <v>45623.467</v>
      </c>
      <c r="H55" s="18">
        <f t="shared" si="11"/>
        <v>91</v>
      </c>
      <c r="I55" s="27" t="s">
        <v>343</v>
      </c>
      <c r="J55" s="28" t="s">
        <v>344</v>
      </c>
      <c r="K55" s="27">
        <v>91</v>
      </c>
      <c r="L55" s="27" t="s">
        <v>345</v>
      </c>
      <c r="M55" s="28" t="s">
        <v>190</v>
      </c>
      <c r="N55" s="28"/>
      <c r="O55" s="29" t="s">
        <v>346</v>
      </c>
      <c r="P55" s="29" t="s">
        <v>289</v>
      </c>
    </row>
    <row r="56" spans="1:16" ht="12.75" customHeight="1" thickBot="1" x14ac:dyDescent="0.25">
      <c r="A56" s="18" t="str">
        <f t="shared" si="6"/>
        <v> BRNO 26 </v>
      </c>
      <c r="B56" s="2" t="str">
        <f t="shared" si="7"/>
        <v>I</v>
      </c>
      <c r="C56" s="18">
        <f t="shared" si="8"/>
        <v>45623.481</v>
      </c>
      <c r="D56" s="15" t="str">
        <f t="shared" si="9"/>
        <v>vis</v>
      </c>
      <c r="E56" s="26">
        <f>VLOOKUP(C56,Active!C$21:E$969,3,FALSE)</f>
        <v>91.005979565101754</v>
      </c>
      <c r="F56" s="2" t="s">
        <v>126</v>
      </c>
      <c r="G56" s="15" t="str">
        <f t="shared" si="10"/>
        <v>45623.481</v>
      </c>
      <c r="H56" s="18">
        <f t="shared" si="11"/>
        <v>91</v>
      </c>
      <c r="I56" s="27" t="s">
        <v>347</v>
      </c>
      <c r="J56" s="28" t="s">
        <v>348</v>
      </c>
      <c r="K56" s="27">
        <v>91</v>
      </c>
      <c r="L56" s="27" t="s">
        <v>338</v>
      </c>
      <c r="M56" s="28" t="s">
        <v>190</v>
      </c>
      <c r="N56" s="28"/>
      <c r="O56" s="29" t="s">
        <v>349</v>
      </c>
      <c r="P56" s="29" t="s">
        <v>289</v>
      </c>
    </row>
    <row r="57" spans="1:16" ht="12.75" customHeight="1" thickBot="1" x14ac:dyDescent="0.25">
      <c r="A57" s="18" t="str">
        <f t="shared" si="6"/>
        <v> BBS 70 </v>
      </c>
      <c r="B57" s="2" t="str">
        <f t="shared" si="7"/>
        <v>I</v>
      </c>
      <c r="C57" s="18">
        <f t="shared" si="8"/>
        <v>45694.252999999997</v>
      </c>
      <c r="D57" s="15" t="str">
        <f t="shared" si="9"/>
        <v>vis</v>
      </c>
      <c r="E57" s="26">
        <f>VLOOKUP(C57,Active!C$21:E$969,3,FALSE)</f>
        <v>125.99880888309076</v>
      </c>
      <c r="F57" s="2" t="s">
        <v>126</v>
      </c>
      <c r="G57" s="15" t="str">
        <f t="shared" si="10"/>
        <v>45694.253</v>
      </c>
      <c r="H57" s="18">
        <f t="shared" si="11"/>
        <v>126</v>
      </c>
      <c r="I57" s="27" t="s">
        <v>350</v>
      </c>
      <c r="J57" s="28" t="s">
        <v>351</v>
      </c>
      <c r="K57" s="27">
        <v>126</v>
      </c>
      <c r="L57" s="27" t="s">
        <v>345</v>
      </c>
      <c r="M57" s="28" t="s">
        <v>190</v>
      </c>
      <c r="N57" s="28"/>
      <c r="O57" s="29" t="s">
        <v>352</v>
      </c>
      <c r="P57" s="29" t="s">
        <v>353</v>
      </c>
    </row>
    <row r="58" spans="1:16" ht="12.75" customHeight="1" thickBot="1" x14ac:dyDescent="0.25">
      <c r="A58" s="18" t="str">
        <f t="shared" si="6"/>
        <v> BBS 70 </v>
      </c>
      <c r="B58" s="2" t="str">
        <f t="shared" si="7"/>
        <v>I</v>
      </c>
      <c r="C58" s="18">
        <f t="shared" si="8"/>
        <v>45698.3</v>
      </c>
      <c r="D58" s="15" t="str">
        <f t="shared" si="9"/>
        <v>vis</v>
      </c>
      <c r="E58" s="26">
        <f>VLOOKUP(C58,Active!C$21:E$969,3,FALSE)</f>
        <v>127.99982595552217</v>
      </c>
      <c r="F58" s="2" t="s">
        <v>126</v>
      </c>
      <c r="G58" s="15" t="str">
        <f t="shared" si="10"/>
        <v>45698.300</v>
      </c>
      <c r="H58" s="18">
        <f t="shared" si="11"/>
        <v>128</v>
      </c>
      <c r="I58" s="27" t="s">
        <v>354</v>
      </c>
      <c r="J58" s="28" t="s">
        <v>355</v>
      </c>
      <c r="K58" s="27">
        <v>128</v>
      </c>
      <c r="L58" s="27" t="s">
        <v>356</v>
      </c>
      <c r="M58" s="28" t="s">
        <v>190</v>
      </c>
      <c r="N58" s="28"/>
      <c r="O58" s="29" t="s">
        <v>191</v>
      </c>
      <c r="P58" s="29" t="s">
        <v>353</v>
      </c>
    </row>
    <row r="59" spans="1:16" ht="12.75" customHeight="1" thickBot="1" x14ac:dyDescent="0.25">
      <c r="A59" s="18" t="str">
        <f t="shared" si="6"/>
        <v> BBS 70 </v>
      </c>
      <c r="B59" s="2" t="str">
        <f t="shared" si="7"/>
        <v>I</v>
      </c>
      <c r="C59" s="18">
        <f t="shared" si="8"/>
        <v>45710.440999999999</v>
      </c>
      <c r="D59" s="15" t="str">
        <f t="shared" si="9"/>
        <v>vis</v>
      </c>
      <c r="E59" s="26">
        <f>VLOOKUP(C59,Active!C$21:E$969,3,FALSE)</f>
        <v>134.00287717280557</v>
      </c>
      <c r="F59" s="2" t="str">
        <f>LEFT(M59,1)</f>
        <v>V</v>
      </c>
      <c r="G59" s="15" t="str">
        <f t="shared" si="10"/>
        <v>45710.441</v>
      </c>
      <c r="H59" s="18">
        <f t="shared" si="11"/>
        <v>134</v>
      </c>
      <c r="I59" s="27" t="s">
        <v>357</v>
      </c>
      <c r="J59" s="28" t="s">
        <v>358</v>
      </c>
      <c r="K59" s="27">
        <v>134</v>
      </c>
      <c r="L59" s="27" t="s">
        <v>292</v>
      </c>
      <c r="M59" s="28" t="s">
        <v>190</v>
      </c>
      <c r="N59" s="28"/>
      <c r="O59" s="29" t="s">
        <v>191</v>
      </c>
      <c r="P59" s="29" t="s">
        <v>353</v>
      </c>
    </row>
    <row r="60" spans="1:16" ht="12.75" customHeight="1" thickBot="1" x14ac:dyDescent="0.25">
      <c r="A60" s="18" t="str">
        <f t="shared" si="6"/>
        <v> BRNO 26 </v>
      </c>
      <c r="B60" s="2" t="str">
        <f t="shared" si="7"/>
        <v>I</v>
      </c>
      <c r="C60" s="18">
        <f t="shared" si="8"/>
        <v>45791.330999999998</v>
      </c>
      <c r="D60" s="15" t="str">
        <f t="shared" si="9"/>
        <v>vis</v>
      </c>
      <c r="E60" s="26">
        <f>VLOOKUP(C60,Active!C$21:E$969,3,FALSE)</f>
        <v>173.99849639413918</v>
      </c>
      <c r="F60" s="2" t="str">
        <f>LEFT(M60,1)</f>
        <v>V</v>
      </c>
      <c r="G60" s="15" t="str">
        <f t="shared" si="10"/>
        <v>45791.331</v>
      </c>
      <c r="H60" s="18">
        <f t="shared" si="11"/>
        <v>174</v>
      </c>
      <c r="I60" s="27" t="s">
        <v>359</v>
      </c>
      <c r="J60" s="28" t="s">
        <v>360</v>
      </c>
      <c r="K60" s="27">
        <v>174</v>
      </c>
      <c r="L60" s="27" t="s">
        <v>127</v>
      </c>
      <c r="M60" s="28" t="s">
        <v>190</v>
      </c>
      <c r="N60" s="28"/>
      <c r="O60" s="29" t="s">
        <v>346</v>
      </c>
      <c r="P60" s="29" t="s">
        <v>289</v>
      </c>
    </row>
    <row r="61" spans="1:16" ht="12.75" customHeight="1" thickBot="1" x14ac:dyDescent="0.25">
      <c r="A61" s="18" t="str">
        <f t="shared" si="6"/>
        <v> BBS 72 </v>
      </c>
      <c r="B61" s="2" t="str">
        <f t="shared" si="7"/>
        <v>I</v>
      </c>
      <c r="C61" s="18">
        <f t="shared" si="8"/>
        <v>45791.339</v>
      </c>
      <c r="D61" s="15" t="str">
        <f t="shared" si="9"/>
        <v>vis</v>
      </c>
      <c r="E61" s="26">
        <f>VLOOKUP(C61,Active!C$21:E$969,3,FALSE)</f>
        <v>174.00245195049763</v>
      </c>
      <c r="F61" s="2" t="str">
        <f>LEFT(M61,1)</f>
        <v>V</v>
      </c>
      <c r="G61" s="15" t="str">
        <f t="shared" si="10"/>
        <v>45791.339</v>
      </c>
      <c r="H61" s="18">
        <f t="shared" si="11"/>
        <v>174</v>
      </c>
      <c r="I61" s="27" t="s">
        <v>361</v>
      </c>
      <c r="J61" s="28" t="s">
        <v>362</v>
      </c>
      <c r="K61" s="27">
        <v>174</v>
      </c>
      <c r="L61" s="27" t="s">
        <v>363</v>
      </c>
      <c r="M61" s="28" t="s">
        <v>190</v>
      </c>
      <c r="N61" s="28"/>
      <c r="O61" s="29" t="s">
        <v>318</v>
      </c>
      <c r="P61" s="29" t="s">
        <v>364</v>
      </c>
    </row>
    <row r="62" spans="1:16" ht="12.75" customHeight="1" thickBot="1" x14ac:dyDescent="0.25">
      <c r="A62" s="18" t="str">
        <f t="shared" si="6"/>
        <v> BBS 72 </v>
      </c>
      <c r="B62" s="2" t="str">
        <f t="shared" si="7"/>
        <v>I</v>
      </c>
      <c r="C62" s="18">
        <f t="shared" si="8"/>
        <v>45805.483999999997</v>
      </c>
      <c r="D62" s="15" t="str">
        <f t="shared" si="9"/>
        <v>vis</v>
      </c>
      <c r="E62" s="26">
        <f>VLOOKUP(C62,Active!C$21:E$969,3,FALSE)</f>
        <v>180.99637003537387</v>
      </c>
      <c r="F62" s="2" t="str">
        <f>LEFT(M62,1)</f>
        <v>V</v>
      </c>
      <c r="G62" s="15" t="str">
        <f t="shared" si="10"/>
        <v>45805.484</v>
      </c>
      <c r="H62" s="18">
        <f t="shared" si="11"/>
        <v>181</v>
      </c>
      <c r="I62" s="27" t="s">
        <v>365</v>
      </c>
      <c r="J62" s="28" t="s">
        <v>366</v>
      </c>
      <c r="K62" s="27">
        <v>181</v>
      </c>
      <c r="L62" s="27" t="s">
        <v>199</v>
      </c>
      <c r="M62" s="28" t="s">
        <v>190</v>
      </c>
      <c r="N62" s="28"/>
      <c r="O62" s="29" t="s">
        <v>352</v>
      </c>
      <c r="P62" s="29" t="s">
        <v>364</v>
      </c>
    </row>
    <row r="63" spans="1:16" ht="12.75" customHeight="1" thickBot="1" x14ac:dyDescent="0.25">
      <c r="A63" s="18" t="str">
        <f t="shared" si="6"/>
        <v> BBS 73 </v>
      </c>
      <c r="B63" s="2" t="str">
        <f t="shared" si="7"/>
        <v>I</v>
      </c>
      <c r="C63" s="18">
        <f t="shared" si="8"/>
        <v>45878.309000000001</v>
      </c>
      <c r="D63" s="15" t="str">
        <f t="shared" si="9"/>
        <v>vis</v>
      </c>
      <c r="E63" s="26">
        <f>VLOOKUP(C63,Active!C$21:E$969,3,FALSE)</f>
        <v>217.00429400364951</v>
      </c>
      <c r="F63" s="2" t="str">
        <f>LEFT(M63,1)</f>
        <v>V</v>
      </c>
      <c r="G63" s="15" t="str">
        <f t="shared" si="10"/>
        <v>45878.309</v>
      </c>
      <c r="H63" s="18">
        <f t="shared" si="11"/>
        <v>217</v>
      </c>
      <c r="I63" s="27" t="s">
        <v>367</v>
      </c>
      <c r="J63" s="28" t="s">
        <v>368</v>
      </c>
      <c r="K63" s="27">
        <v>217</v>
      </c>
      <c r="L63" s="27" t="s">
        <v>275</v>
      </c>
      <c r="M63" s="28" t="s">
        <v>190</v>
      </c>
      <c r="N63" s="28"/>
      <c r="O63" s="29" t="s">
        <v>264</v>
      </c>
      <c r="P63" s="29" t="s">
        <v>369</v>
      </c>
    </row>
    <row r="64" spans="1:16" ht="12.75" customHeight="1" thickBot="1" x14ac:dyDescent="0.25">
      <c r="A64" s="18" t="str">
        <f t="shared" si="6"/>
        <v> BBS 73 </v>
      </c>
      <c r="B64" s="2" t="str">
        <f t="shared" si="7"/>
        <v>I</v>
      </c>
      <c r="C64" s="18">
        <f t="shared" si="8"/>
        <v>45880.326999999997</v>
      </c>
      <c r="D64" s="15" t="str">
        <f t="shared" si="9"/>
        <v>vis</v>
      </c>
      <c r="E64" s="26">
        <f>VLOOKUP(C64,Active!C$21:E$969,3,FALSE)</f>
        <v>218.00208309486607</v>
      </c>
      <c r="F64" s="2" t="s">
        <v>126</v>
      </c>
      <c r="G64" s="15" t="str">
        <f t="shared" si="10"/>
        <v>45880.327</v>
      </c>
      <c r="H64" s="18">
        <f t="shared" si="11"/>
        <v>218</v>
      </c>
      <c r="I64" s="27" t="s">
        <v>370</v>
      </c>
      <c r="J64" s="28" t="s">
        <v>371</v>
      </c>
      <c r="K64" s="27">
        <v>218</v>
      </c>
      <c r="L64" s="27" t="s">
        <v>287</v>
      </c>
      <c r="M64" s="28" t="s">
        <v>190</v>
      </c>
      <c r="N64" s="28"/>
      <c r="O64" s="29" t="s">
        <v>264</v>
      </c>
      <c r="P64" s="29" t="s">
        <v>369</v>
      </c>
    </row>
    <row r="65" spans="1:16" ht="12.75" customHeight="1" thickBot="1" x14ac:dyDescent="0.25">
      <c r="A65" s="18" t="str">
        <f t="shared" si="6"/>
        <v> BBS 76 </v>
      </c>
      <c r="B65" s="2" t="str">
        <f t="shared" si="7"/>
        <v>I</v>
      </c>
      <c r="C65" s="18">
        <f t="shared" si="8"/>
        <v>46153.351000000002</v>
      </c>
      <c r="D65" s="15" t="str">
        <f t="shared" si="9"/>
        <v>vis</v>
      </c>
      <c r="E65" s="26">
        <f>VLOOKUP(C65,Active!C$21:E$969,3,FALSE)</f>
        <v>352.99731046890071</v>
      </c>
      <c r="F65" s="2" t="s">
        <v>126</v>
      </c>
      <c r="G65" s="15" t="str">
        <f t="shared" si="10"/>
        <v>46153.351</v>
      </c>
      <c r="H65" s="18">
        <f t="shared" si="11"/>
        <v>353</v>
      </c>
      <c r="I65" s="27" t="s">
        <v>372</v>
      </c>
      <c r="J65" s="28" t="s">
        <v>373</v>
      </c>
      <c r="K65" s="27">
        <v>353</v>
      </c>
      <c r="L65" s="27" t="s">
        <v>297</v>
      </c>
      <c r="M65" s="28" t="s">
        <v>190</v>
      </c>
      <c r="N65" s="28"/>
      <c r="O65" s="29" t="s">
        <v>231</v>
      </c>
      <c r="P65" s="29" t="s">
        <v>374</v>
      </c>
    </row>
    <row r="66" spans="1:16" ht="12.75" customHeight="1" thickBot="1" x14ac:dyDescent="0.25">
      <c r="A66" s="18" t="str">
        <f t="shared" si="6"/>
        <v> BRNO 27 </v>
      </c>
      <c r="B66" s="2" t="str">
        <f t="shared" si="7"/>
        <v>I</v>
      </c>
      <c r="C66" s="18">
        <f t="shared" si="8"/>
        <v>46167.504999999997</v>
      </c>
      <c r="D66" s="15" t="str">
        <f t="shared" si="9"/>
        <v>vis</v>
      </c>
      <c r="E66" s="26">
        <f>VLOOKUP(C66,Active!C$21:E$969,3,FALSE)</f>
        <v>359.99567855467842</v>
      </c>
      <c r="F66" s="2" t="s">
        <v>126</v>
      </c>
      <c r="G66" s="15" t="str">
        <f t="shared" si="10"/>
        <v>46167.505</v>
      </c>
      <c r="H66" s="18">
        <f t="shared" si="11"/>
        <v>360</v>
      </c>
      <c r="I66" s="27" t="s">
        <v>375</v>
      </c>
      <c r="J66" s="28" t="s">
        <v>376</v>
      </c>
      <c r="K66" s="27">
        <v>360</v>
      </c>
      <c r="L66" s="27" t="s">
        <v>256</v>
      </c>
      <c r="M66" s="28" t="s">
        <v>190</v>
      </c>
      <c r="N66" s="28"/>
      <c r="O66" s="29" t="s">
        <v>288</v>
      </c>
      <c r="P66" s="29" t="s">
        <v>377</v>
      </c>
    </row>
    <row r="67" spans="1:16" ht="12.75" customHeight="1" thickBot="1" x14ac:dyDescent="0.25">
      <c r="A67" s="18" t="str">
        <f t="shared" si="6"/>
        <v> BRNO 28 </v>
      </c>
      <c r="B67" s="2" t="str">
        <f t="shared" si="7"/>
        <v>I</v>
      </c>
      <c r="C67" s="18">
        <f t="shared" si="8"/>
        <v>46438.523000000001</v>
      </c>
      <c r="D67" s="15" t="str">
        <f t="shared" si="9"/>
        <v>vis</v>
      </c>
      <c r="E67" s="26">
        <f>VLOOKUP(C67,Active!C$21:E$969,3,FALSE)</f>
        <v>493.99905017203059</v>
      </c>
      <c r="F67" s="2" t="s">
        <v>126</v>
      </c>
      <c r="G67" s="15" t="str">
        <f t="shared" si="10"/>
        <v>46438.523</v>
      </c>
      <c r="H67" s="18">
        <f t="shared" si="11"/>
        <v>494</v>
      </c>
      <c r="I67" s="27" t="s">
        <v>378</v>
      </c>
      <c r="J67" s="28" t="s">
        <v>379</v>
      </c>
      <c r="K67" s="27">
        <v>494</v>
      </c>
      <c r="L67" s="27" t="s">
        <v>345</v>
      </c>
      <c r="M67" s="28" t="s">
        <v>190</v>
      </c>
      <c r="N67" s="28"/>
      <c r="O67" s="29" t="s">
        <v>288</v>
      </c>
      <c r="P67" s="29" t="s">
        <v>380</v>
      </c>
    </row>
    <row r="68" spans="1:16" ht="12.75" customHeight="1" thickBot="1" x14ac:dyDescent="0.25">
      <c r="A68" s="18" t="str">
        <f t="shared" si="6"/>
        <v> BRNO 28 </v>
      </c>
      <c r="B68" s="2" t="str">
        <f t="shared" si="7"/>
        <v>I</v>
      </c>
      <c r="C68" s="18">
        <f t="shared" si="8"/>
        <v>46519.445</v>
      </c>
      <c r="D68" s="15" t="str">
        <f t="shared" si="9"/>
        <v>vis</v>
      </c>
      <c r="E68" s="26">
        <f>VLOOKUP(C68,Active!C$21:E$969,3,FALSE)</f>
        <v>534.0104916187945</v>
      </c>
      <c r="F68" s="2" t="s">
        <v>126</v>
      </c>
      <c r="G68" s="15" t="str">
        <f t="shared" si="10"/>
        <v>46519.445</v>
      </c>
      <c r="H68" s="18">
        <f t="shared" si="11"/>
        <v>534</v>
      </c>
      <c r="I68" s="27" t="s">
        <v>381</v>
      </c>
      <c r="J68" s="28" t="s">
        <v>382</v>
      </c>
      <c r="K68" s="27">
        <v>534</v>
      </c>
      <c r="L68" s="27" t="s">
        <v>383</v>
      </c>
      <c r="M68" s="28" t="s">
        <v>190</v>
      </c>
      <c r="N68" s="28"/>
      <c r="O68" s="29" t="s">
        <v>384</v>
      </c>
      <c r="P68" s="29" t="s">
        <v>380</v>
      </c>
    </row>
    <row r="69" spans="1:16" ht="12.75" customHeight="1" thickBot="1" x14ac:dyDescent="0.25">
      <c r="A69" s="18" t="str">
        <f t="shared" si="6"/>
        <v> BBS 88 </v>
      </c>
      <c r="B69" s="2" t="str">
        <f t="shared" si="7"/>
        <v>I</v>
      </c>
      <c r="C69" s="18">
        <f t="shared" si="8"/>
        <v>47233.37</v>
      </c>
      <c r="D69" s="15" t="str">
        <f t="shared" si="9"/>
        <v>vis</v>
      </c>
      <c r="E69" s="26">
        <f>VLOOKUP(C69,Active!C$21:E$969,3,FALSE)</f>
        <v>887.00681319860553</v>
      </c>
      <c r="F69" s="2" t="s">
        <v>126</v>
      </c>
      <c r="G69" s="15" t="str">
        <f t="shared" si="10"/>
        <v>47233.370</v>
      </c>
      <c r="H69" s="18">
        <f t="shared" si="11"/>
        <v>887</v>
      </c>
      <c r="I69" s="27" t="s">
        <v>385</v>
      </c>
      <c r="J69" s="28" t="s">
        <v>386</v>
      </c>
      <c r="K69" s="27">
        <v>887</v>
      </c>
      <c r="L69" s="27" t="s">
        <v>283</v>
      </c>
      <c r="M69" s="28" t="s">
        <v>190</v>
      </c>
      <c r="N69" s="28"/>
      <c r="O69" s="29" t="s">
        <v>231</v>
      </c>
      <c r="P69" s="29" t="s">
        <v>387</v>
      </c>
    </row>
    <row r="70" spans="1:16" ht="12.75" customHeight="1" thickBot="1" x14ac:dyDescent="0.25">
      <c r="A70" s="18" t="str">
        <f t="shared" si="6"/>
        <v> BBS 88 </v>
      </c>
      <c r="B70" s="2" t="str">
        <f t="shared" si="7"/>
        <v>I</v>
      </c>
      <c r="C70" s="18">
        <f t="shared" si="8"/>
        <v>47239.438999999998</v>
      </c>
      <c r="D70" s="15" t="str">
        <f t="shared" si="9"/>
        <v>vis</v>
      </c>
      <c r="E70" s="26">
        <f>VLOOKUP(C70,Active!C$21:E$969,3,FALSE)</f>
        <v>890.0075971404292</v>
      </c>
      <c r="F70" s="2" t="s">
        <v>126</v>
      </c>
      <c r="G70" s="15" t="str">
        <f t="shared" si="10"/>
        <v>47239.439</v>
      </c>
      <c r="H70" s="18">
        <f t="shared" si="11"/>
        <v>890</v>
      </c>
      <c r="I70" s="27" t="s">
        <v>388</v>
      </c>
      <c r="J70" s="28" t="s">
        <v>389</v>
      </c>
      <c r="K70" s="27">
        <v>890</v>
      </c>
      <c r="L70" s="27" t="s">
        <v>310</v>
      </c>
      <c r="M70" s="28" t="s">
        <v>190</v>
      </c>
      <c r="N70" s="28"/>
      <c r="O70" s="29" t="s">
        <v>231</v>
      </c>
      <c r="P70" s="29" t="s">
        <v>387</v>
      </c>
    </row>
    <row r="71" spans="1:16" ht="12.75" customHeight="1" thickBot="1" x14ac:dyDescent="0.25">
      <c r="A71" s="18" t="str">
        <f t="shared" si="6"/>
        <v> BBS 91 </v>
      </c>
      <c r="B71" s="2" t="str">
        <f t="shared" si="7"/>
        <v>I</v>
      </c>
      <c r="C71" s="18">
        <f t="shared" si="8"/>
        <v>47591.347999999998</v>
      </c>
      <c r="D71" s="15" t="str">
        <f t="shared" si="9"/>
        <v>vis</v>
      </c>
      <c r="E71" s="26">
        <f>VLOOKUP(C71,Active!C$21:E$969,3,FALSE)</f>
        <v>1064.0070824236579</v>
      </c>
      <c r="F71" s="2" t="s">
        <v>126</v>
      </c>
      <c r="G71" s="15" t="str">
        <f t="shared" si="10"/>
        <v>47591.348</v>
      </c>
      <c r="H71" s="18">
        <f t="shared" si="11"/>
        <v>1064</v>
      </c>
      <c r="I71" s="27" t="s">
        <v>390</v>
      </c>
      <c r="J71" s="28" t="s">
        <v>391</v>
      </c>
      <c r="K71" s="27">
        <v>1064</v>
      </c>
      <c r="L71" s="27" t="s">
        <v>283</v>
      </c>
      <c r="M71" s="28" t="s">
        <v>190</v>
      </c>
      <c r="N71" s="28"/>
      <c r="O71" s="29" t="s">
        <v>231</v>
      </c>
      <c r="P71" s="29" t="s">
        <v>392</v>
      </c>
    </row>
    <row r="72" spans="1:16" ht="12.75" customHeight="1" thickBot="1" x14ac:dyDescent="0.25">
      <c r="A72" s="18" t="str">
        <f t="shared" si="6"/>
        <v> BBS 91 </v>
      </c>
      <c r="B72" s="2" t="str">
        <f t="shared" si="7"/>
        <v>I</v>
      </c>
      <c r="C72" s="18">
        <f t="shared" si="8"/>
        <v>47597.415999999997</v>
      </c>
      <c r="D72" s="15" t="str">
        <f t="shared" si="9"/>
        <v>vis</v>
      </c>
      <c r="E72" s="26">
        <f>VLOOKUP(C72,Active!C$21:E$969,3,FALSE)</f>
        <v>1067.0073719209386</v>
      </c>
      <c r="F72" s="2" t="s">
        <v>126</v>
      </c>
      <c r="G72" s="15" t="str">
        <f t="shared" si="10"/>
        <v>47597.416</v>
      </c>
      <c r="H72" s="18">
        <f t="shared" si="11"/>
        <v>1067</v>
      </c>
      <c r="I72" s="27" t="s">
        <v>397</v>
      </c>
      <c r="J72" s="28" t="s">
        <v>398</v>
      </c>
      <c r="K72" s="27">
        <v>1067</v>
      </c>
      <c r="L72" s="27" t="s">
        <v>310</v>
      </c>
      <c r="M72" s="28" t="s">
        <v>190</v>
      </c>
      <c r="N72" s="28"/>
      <c r="O72" s="29" t="s">
        <v>231</v>
      </c>
      <c r="P72" s="29" t="s">
        <v>392</v>
      </c>
    </row>
    <row r="73" spans="1:16" ht="12.75" customHeight="1" thickBot="1" x14ac:dyDescent="0.25">
      <c r="A73" s="18" t="str">
        <f t="shared" si="6"/>
        <v> BBS 94 </v>
      </c>
      <c r="B73" s="2" t="str">
        <f t="shared" si="7"/>
        <v>I</v>
      </c>
      <c r="C73" s="18">
        <f t="shared" si="8"/>
        <v>47947.294999999998</v>
      </c>
      <c r="D73" s="15" t="str">
        <f t="shared" si="9"/>
        <v>vis</v>
      </c>
      <c r="E73" s="26">
        <f>VLOOKUP(C73,Active!C$21:E$969,3,FALSE)</f>
        <v>1240.0031347784131</v>
      </c>
      <c r="F73" s="2" t="s">
        <v>126</v>
      </c>
      <c r="G73" s="15" t="str">
        <f t="shared" si="10"/>
        <v>47947.295</v>
      </c>
      <c r="H73" s="18">
        <f t="shared" si="11"/>
        <v>1240</v>
      </c>
      <c r="I73" s="27" t="s">
        <v>399</v>
      </c>
      <c r="J73" s="28" t="s">
        <v>400</v>
      </c>
      <c r="K73" s="27">
        <v>1240</v>
      </c>
      <c r="L73" s="27" t="s">
        <v>292</v>
      </c>
      <c r="M73" s="28" t="s">
        <v>190</v>
      </c>
      <c r="N73" s="28"/>
      <c r="O73" s="29" t="s">
        <v>231</v>
      </c>
      <c r="P73" s="29" t="s">
        <v>401</v>
      </c>
    </row>
    <row r="74" spans="1:16" ht="12.75" customHeight="1" thickBot="1" x14ac:dyDescent="0.25">
      <c r="A74" s="18" t="str">
        <f t="shared" si="6"/>
        <v> BBS 94 </v>
      </c>
      <c r="B74" s="2" t="str">
        <f t="shared" si="7"/>
        <v>I</v>
      </c>
      <c r="C74" s="18">
        <f t="shared" si="8"/>
        <v>47955.392999999996</v>
      </c>
      <c r="D74" s="15" t="str">
        <f t="shared" si="9"/>
        <v>vis</v>
      </c>
      <c r="E74" s="26">
        <f>VLOOKUP(C74,Active!C$21:E$969,3,FALSE)</f>
        <v>1244.0071467014479</v>
      </c>
      <c r="F74" s="2" t="s">
        <v>126</v>
      </c>
      <c r="G74" s="15" t="str">
        <f t="shared" si="10"/>
        <v>47955.393</v>
      </c>
      <c r="H74" s="18">
        <f t="shared" si="11"/>
        <v>1244</v>
      </c>
      <c r="I74" s="27" t="s">
        <v>402</v>
      </c>
      <c r="J74" s="28" t="s">
        <v>403</v>
      </c>
      <c r="K74" s="27">
        <v>1244</v>
      </c>
      <c r="L74" s="27" t="s">
        <v>283</v>
      </c>
      <c r="M74" s="28" t="s">
        <v>190</v>
      </c>
      <c r="N74" s="28"/>
      <c r="O74" s="29" t="s">
        <v>231</v>
      </c>
      <c r="P74" s="29" t="s">
        <v>401</v>
      </c>
    </row>
    <row r="75" spans="1:16" ht="12.75" customHeight="1" thickBot="1" x14ac:dyDescent="0.25">
      <c r="A75" s="18" t="str">
        <f t="shared" ref="A75:A106" si="12">P75</f>
        <v> BBS 98 </v>
      </c>
      <c r="B75" s="2" t="str">
        <f t="shared" ref="B75:B106" si="13">IF(H75=INT(H75),"I","II")</f>
        <v>I</v>
      </c>
      <c r="C75" s="18">
        <f t="shared" ref="C75:C106" si="14">1*G75</f>
        <v>48404.392</v>
      </c>
      <c r="D75" s="15" t="str">
        <f t="shared" ref="D75:D106" si="15">VLOOKUP(F75,I$1:J$5,2,FALSE)</f>
        <v>vis</v>
      </c>
      <c r="E75" s="26">
        <f>VLOOKUP(C75,Active!C$21:E$969,3,FALSE)</f>
        <v>1466.0122528302627</v>
      </c>
      <c r="F75" s="2" t="s">
        <v>126</v>
      </c>
      <c r="G75" s="15" t="str">
        <f t="shared" ref="G75:G106" si="16">MID(I75,3,LEN(I75)-3)</f>
        <v>48404.392</v>
      </c>
      <c r="H75" s="18">
        <f t="shared" ref="H75:H106" si="17">1*K75</f>
        <v>1466</v>
      </c>
      <c r="I75" s="27" t="s">
        <v>404</v>
      </c>
      <c r="J75" s="28" t="s">
        <v>405</v>
      </c>
      <c r="K75" s="27">
        <v>1466</v>
      </c>
      <c r="L75" s="27" t="s">
        <v>189</v>
      </c>
      <c r="M75" s="28" t="s">
        <v>190</v>
      </c>
      <c r="N75" s="28"/>
      <c r="O75" s="29" t="s">
        <v>231</v>
      </c>
      <c r="P75" s="29" t="s">
        <v>406</v>
      </c>
    </row>
    <row r="76" spans="1:16" ht="12.75" customHeight="1" thickBot="1" x14ac:dyDescent="0.25">
      <c r="A76" s="18" t="str">
        <f t="shared" si="12"/>
        <v> BBS 101 </v>
      </c>
      <c r="B76" s="2" t="str">
        <f t="shared" si="13"/>
        <v>I</v>
      </c>
      <c r="C76" s="18">
        <f t="shared" si="14"/>
        <v>48766.400000000001</v>
      </c>
      <c r="D76" s="15" t="str">
        <f t="shared" si="15"/>
        <v>vis</v>
      </c>
      <c r="E76" s="26">
        <f>VLOOKUP(C76,Active!C$21:E$969,3,FALSE)</f>
        <v>1645.0051335704866</v>
      </c>
      <c r="F76" s="2" t="s">
        <v>126</v>
      </c>
      <c r="G76" s="15" t="str">
        <f t="shared" si="16"/>
        <v>48766.400</v>
      </c>
      <c r="H76" s="18">
        <f t="shared" si="17"/>
        <v>1645</v>
      </c>
      <c r="I76" s="27" t="s">
        <v>407</v>
      </c>
      <c r="J76" s="28" t="s">
        <v>408</v>
      </c>
      <c r="K76" s="27">
        <v>1645</v>
      </c>
      <c r="L76" s="27" t="s">
        <v>409</v>
      </c>
      <c r="M76" s="28" t="s">
        <v>190</v>
      </c>
      <c r="N76" s="28"/>
      <c r="O76" s="29" t="s">
        <v>231</v>
      </c>
      <c r="P76" s="29" t="s">
        <v>410</v>
      </c>
    </row>
    <row r="77" spans="1:16" ht="12.75" customHeight="1" thickBot="1" x14ac:dyDescent="0.25">
      <c r="A77" s="18" t="str">
        <f t="shared" si="12"/>
        <v> BRNO 31 </v>
      </c>
      <c r="B77" s="2" t="str">
        <f t="shared" si="13"/>
        <v>I</v>
      </c>
      <c r="C77" s="18">
        <f t="shared" si="14"/>
        <v>48770.434999999998</v>
      </c>
      <c r="D77" s="15" t="str">
        <f t="shared" si="15"/>
        <v>vis</v>
      </c>
      <c r="E77" s="26">
        <f>VLOOKUP(C77,Active!C$21:E$969,3,FALSE)</f>
        <v>1647.0002173083767</v>
      </c>
      <c r="F77" s="2" t="s">
        <v>126</v>
      </c>
      <c r="G77" s="15" t="str">
        <f t="shared" si="16"/>
        <v>48770.435</v>
      </c>
      <c r="H77" s="18">
        <f t="shared" si="17"/>
        <v>1647</v>
      </c>
      <c r="I77" s="27" t="s">
        <v>411</v>
      </c>
      <c r="J77" s="28" t="s">
        <v>412</v>
      </c>
      <c r="K77" s="27">
        <v>1647</v>
      </c>
      <c r="L77" s="27" t="s">
        <v>341</v>
      </c>
      <c r="M77" s="28" t="s">
        <v>190</v>
      </c>
      <c r="N77" s="28"/>
      <c r="O77" s="29" t="s">
        <v>395</v>
      </c>
      <c r="P77" s="29" t="s">
        <v>413</v>
      </c>
    </row>
    <row r="78" spans="1:16" ht="12.75" customHeight="1" thickBot="1" x14ac:dyDescent="0.25">
      <c r="A78" s="18" t="str">
        <f t="shared" si="12"/>
        <v>BAVM 68 </v>
      </c>
      <c r="B78" s="2" t="str">
        <f t="shared" si="13"/>
        <v>I</v>
      </c>
      <c r="C78" s="18">
        <f t="shared" si="14"/>
        <v>49480.322699999997</v>
      </c>
      <c r="D78" s="15" t="str">
        <f t="shared" si="15"/>
        <v>vis</v>
      </c>
      <c r="E78" s="26">
        <f>VLOOKUP(C78,Active!C$21:E$969,3,FALSE)</f>
        <v>1998.0003179278413</v>
      </c>
      <c r="F78" s="2" t="s">
        <v>126</v>
      </c>
      <c r="G78" s="15" t="str">
        <f t="shared" si="16"/>
        <v>49480.3227</v>
      </c>
      <c r="H78" s="18">
        <f t="shared" si="17"/>
        <v>1998</v>
      </c>
      <c r="I78" s="27" t="s">
        <v>414</v>
      </c>
      <c r="J78" s="28" t="s">
        <v>415</v>
      </c>
      <c r="K78" s="27">
        <v>1998</v>
      </c>
      <c r="L78" s="27" t="s">
        <v>416</v>
      </c>
      <c r="M78" s="28" t="s">
        <v>417</v>
      </c>
      <c r="N78" s="28" t="s">
        <v>418</v>
      </c>
      <c r="O78" s="29" t="s">
        <v>419</v>
      </c>
      <c r="P78" s="30" t="s">
        <v>420</v>
      </c>
    </row>
    <row r="79" spans="1:16" ht="12.75" customHeight="1" thickBot="1" x14ac:dyDescent="0.25">
      <c r="A79" s="18" t="str">
        <f t="shared" si="12"/>
        <v>BAVM 68 </v>
      </c>
      <c r="B79" s="2" t="str">
        <f t="shared" si="13"/>
        <v>I</v>
      </c>
      <c r="C79" s="18">
        <f t="shared" si="14"/>
        <v>49480.323400000001</v>
      </c>
      <c r="D79" s="15" t="str">
        <f t="shared" si="15"/>
        <v>vis</v>
      </c>
      <c r="E79" s="26">
        <f>VLOOKUP(C79,Active!C$21:E$969,3,FALSE)</f>
        <v>1998.0006640390245</v>
      </c>
      <c r="F79" s="2" t="s">
        <v>126</v>
      </c>
      <c r="G79" s="15" t="str">
        <f t="shared" si="16"/>
        <v>49480.3234</v>
      </c>
      <c r="H79" s="18">
        <f t="shared" si="17"/>
        <v>1998</v>
      </c>
      <c r="I79" s="27" t="s">
        <v>421</v>
      </c>
      <c r="J79" s="28" t="s">
        <v>422</v>
      </c>
      <c r="K79" s="27">
        <v>1998</v>
      </c>
      <c r="L79" s="27" t="s">
        <v>423</v>
      </c>
      <c r="M79" s="28" t="s">
        <v>417</v>
      </c>
      <c r="N79" s="28" t="s">
        <v>424</v>
      </c>
      <c r="O79" s="29" t="s">
        <v>419</v>
      </c>
      <c r="P79" s="30" t="s">
        <v>420</v>
      </c>
    </row>
    <row r="80" spans="1:16" ht="12.75" customHeight="1" thickBot="1" x14ac:dyDescent="0.25">
      <c r="A80" s="18" t="str">
        <f t="shared" si="12"/>
        <v> BBS 106 </v>
      </c>
      <c r="B80" s="2" t="str">
        <f t="shared" si="13"/>
        <v>I</v>
      </c>
      <c r="C80" s="18">
        <f t="shared" si="14"/>
        <v>49484.375999999997</v>
      </c>
      <c r="D80" s="15" t="str">
        <f t="shared" si="15"/>
        <v>vis</v>
      </c>
      <c r="E80" s="26">
        <f>VLOOKUP(C80,Active!C$21:E$969,3,FALSE)</f>
        <v>2000.0044500009012</v>
      </c>
      <c r="F80" s="2" t="s">
        <v>126</v>
      </c>
      <c r="G80" s="15" t="str">
        <f t="shared" si="16"/>
        <v>49484.376</v>
      </c>
      <c r="H80" s="18">
        <f t="shared" si="17"/>
        <v>2000</v>
      </c>
      <c r="I80" s="27" t="s">
        <v>425</v>
      </c>
      <c r="J80" s="28" t="s">
        <v>426</v>
      </c>
      <c r="K80" s="27">
        <v>2000</v>
      </c>
      <c r="L80" s="27" t="s">
        <v>275</v>
      </c>
      <c r="M80" s="28" t="s">
        <v>190</v>
      </c>
      <c r="N80" s="28"/>
      <c r="O80" s="29" t="s">
        <v>231</v>
      </c>
      <c r="P80" s="29" t="s">
        <v>427</v>
      </c>
    </row>
    <row r="81" spans="1:16" ht="12.75" customHeight="1" thickBot="1" x14ac:dyDescent="0.25">
      <c r="A81" s="18" t="str">
        <f t="shared" si="12"/>
        <v>BAVM 68 </v>
      </c>
      <c r="B81" s="2" t="str">
        <f t="shared" si="13"/>
        <v>I</v>
      </c>
      <c r="C81" s="18">
        <f t="shared" si="14"/>
        <v>49486.390700000004</v>
      </c>
      <c r="D81" s="15" t="str">
        <f t="shared" si="15"/>
        <v>vis</v>
      </c>
      <c r="E81" s="26">
        <f>VLOOKUP(C81,Active!C$21:E$969,3,FALSE)</f>
        <v>2001.0006074251255</v>
      </c>
      <c r="F81" s="2" t="s">
        <v>126</v>
      </c>
      <c r="G81" s="15" t="str">
        <f t="shared" si="16"/>
        <v>49486.3907</v>
      </c>
      <c r="H81" s="18">
        <f t="shared" si="17"/>
        <v>2001</v>
      </c>
      <c r="I81" s="27" t="s">
        <v>428</v>
      </c>
      <c r="J81" s="28" t="s">
        <v>429</v>
      </c>
      <c r="K81" s="27">
        <v>2001</v>
      </c>
      <c r="L81" s="27" t="s">
        <v>430</v>
      </c>
      <c r="M81" s="28" t="s">
        <v>417</v>
      </c>
      <c r="N81" s="28" t="s">
        <v>418</v>
      </c>
      <c r="O81" s="29" t="s">
        <v>419</v>
      </c>
      <c r="P81" s="30" t="s">
        <v>420</v>
      </c>
    </row>
    <row r="82" spans="1:16" ht="12.75" customHeight="1" thickBot="1" x14ac:dyDescent="0.25">
      <c r="A82" s="18" t="str">
        <f t="shared" si="12"/>
        <v>BAVM 68 </v>
      </c>
      <c r="B82" s="2" t="str">
        <f t="shared" si="13"/>
        <v>I</v>
      </c>
      <c r="C82" s="18">
        <f t="shared" si="14"/>
        <v>49486.391300000003</v>
      </c>
      <c r="D82" s="15" t="str">
        <f t="shared" si="15"/>
        <v>vis</v>
      </c>
      <c r="E82" s="26">
        <f>VLOOKUP(C82,Active!C$21:E$969,3,FALSE)</f>
        <v>2001.0009040918519</v>
      </c>
      <c r="F82" s="2" t="s">
        <v>126</v>
      </c>
      <c r="G82" s="15" t="str">
        <f t="shared" si="16"/>
        <v>49486.3913</v>
      </c>
      <c r="H82" s="18">
        <f t="shared" si="17"/>
        <v>2001</v>
      </c>
      <c r="I82" s="27" t="s">
        <v>431</v>
      </c>
      <c r="J82" s="28" t="s">
        <v>432</v>
      </c>
      <c r="K82" s="27">
        <v>2001</v>
      </c>
      <c r="L82" s="27" t="s">
        <v>433</v>
      </c>
      <c r="M82" s="28" t="s">
        <v>417</v>
      </c>
      <c r="N82" s="28" t="s">
        <v>424</v>
      </c>
      <c r="O82" s="29" t="s">
        <v>419</v>
      </c>
      <c r="P82" s="30" t="s">
        <v>420</v>
      </c>
    </row>
    <row r="83" spans="1:16" ht="12.75" customHeight="1" thickBot="1" x14ac:dyDescent="0.25">
      <c r="A83" s="18" t="str">
        <f t="shared" si="12"/>
        <v> BBS 106 </v>
      </c>
      <c r="B83" s="2" t="str">
        <f t="shared" si="13"/>
        <v>I</v>
      </c>
      <c r="C83" s="18">
        <f t="shared" si="14"/>
        <v>49486.392</v>
      </c>
      <c r="D83" s="15" t="str">
        <f t="shared" si="15"/>
        <v>vis</v>
      </c>
      <c r="E83" s="26">
        <f>VLOOKUP(C83,Active!C$21:E$969,3,FALSE)</f>
        <v>2001.0012502030318</v>
      </c>
      <c r="F83" s="2" t="s">
        <v>126</v>
      </c>
      <c r="G83" s="15" t="str">
        <f t="shared" si="16"/>
        <v>49486.392</v>
      </c>
      <c r="H83" s="18">
        <f t="shared" si="17"/>
        <v>2001</v>
      </c>
      <c r="I83" s="27" t="s">
        <v>434</v>
      </c>
      <c r="J83" s="28" t="s">
        <v>435</v>
      </c>
      <c r="K83" s="27">
        <v>2001</v>
      </c>
      <c r="L83" s="27" t="s">
        <v>243</v>
      </c>
      <c r="M83" s="28" t="s">
        <v>190</v>
      </c>
      <c r="N83" s="28"/>
      <c r="O83" s="29" t="s">
        <v>231</v>
      </c>
      <c r="P83" s="29" t="s">
        <v>427</v>
      </c>
    </row>
    <row r="84" spans="1:16" ht="12.75" customHeight="1" thickBot="1" x14ac:dyDescent="0.25">
      <c r="A84" s="18" t="str">
        <f t="shared" si="12"/>
        <v> BRNO 31 </v>
      </c>
      <c r="B84" s="2" t="str">
        <f t="shared" si="13"/>
        <v>I</v>
      </c>
      <c r="C84" s="18">
        <f t="shared" si="14"/>
        <v>49488.413</v>
      </c>
      <c r="D84" s="15" t="str">
        <f t="shared" si="15"/>
        <v>vis</v>
      </c>
      <c r="E84" s="26">
        <f>VLOOKUP(C84,Active!C$21:E$969,3,FALSE)</f>
        <v>2002.0005226278845</v>
      </c>
      <c r="F84" s="2" t="s">
        <v>126</v>
      </c>
      <c r="G84" s="15" t="str">
        <f t="shared" si="16"/>
        <v>49488.413</v>
      </c>
      <c r="H84" s="18">
        <f t="shared" si="17"/>
        <v>2002</v>
      </c>
      <c r="I84" s="27" t="s">
        <v>436</v>
      </c>
      <c r="J84" s="28" t="s">
        <v>437</v>
      </c>
      <c r="K84" s="27">
        <v>2002</v>
      </c>
      <c r="L84" s="27" t="s">
        <v>331</v>
      </c>
      <c r="M84" s="28" t="s">
        <v>190</v>
      </c>
      <c r="N84" s="28"/>
      <c r="O84" s="29" t="s">
        <v>438</v>
      </c>
      <c r="P84" s="29" t="s">
        <v>413</v>
      </c>
    </row>
    <row r="85" spans="1:16" ht="12.75" customHeight="1" thickBot="1" x14ac:dyDescent="0.25">
      <c r="A85" s="18" t="str">
        <f t="shared" si="12"/>
        <v> BBS 109 </v>
      </c>
      <c r="B85" s="2" t="str">
        <f t="shared" si="13"/>
        <v>I</v>
      </c>
      <c r="C85" s="18">
        <f t="shared" si="14"/>
        <v>49844.364999999998</v>
      </c>
      <c r="D85" s="15" t="str">
        <f t="shared" si="15"/>
        <v>vis</v>
      </c>
      <c r="E85" s="26">
        <f>VLOOKUP(C85,Active!C$21:E$969,3,FALSE)</f>
        <v>2177.9990472053619</v>
      </c>
      <c r="F85" s="2" t="s">
        <v>126</v>
      </c>
      <c r="G85" s="15" t="str">
        <f t="shared" si="16"/>
        <v>49844.365</v>
      </c>
      <c r="H85" s="18">
        <f t="shared" si="17"/>
        <v>2178</v>
      </c>
      <c r="I85" s="27" t="s">
        <v>444</v>
      </c>
      <c r="J85" s="28" t="s">
        <v>445</v>
      </c>
      <c r="K85" s="27">
        <v>2178</v>
      </c>
      <c r="L85" s="27" t="s">
        <v>345</v>
      </c>
      <c r="M85" s="28" t="s">
        <v>190</v>
      </c>
      <c r="N85" s="28"/>
      <c r="O85" s="29" t="s">
        <v>231</v>
      </c>
      <c r="P85" s="29" t="s">
        <v>446</v>
      </c>
    </row>
    <row r="86" spans="1:16" ht="12.75" customHeight="1" thickBot="1" x14ac:dyDescent="0.25">
      <c r="A86" s="18" t="str">
        <f t="shared" si="12"/>
        <v> BBS 115 </v>
      </c>
      <c r="B86" s="2" t="str">
        <f t="shared" si="13"/>
        <v>I</v>
      </c>
      <c r="C86" s="18">
        <f t="shared" si="14"/>
        <v>50570.423000000003</v>
      </c>
      <c r="D86" s="15" t="str">
        <f t="shared" si="15"/>
        <v>vis</v>
      </c>
      <c r="E86" s="26">
        <f>VLOOKUP(C86,Active!C$21:E$969,3,FALSE)</f>
        <v>2536.9944644461016</v>
      </c>
      <c r="F86" s="2" t="s">
        <v>126</v>
      </c>
      <c r="G86" s="15" t="str">
        <f t="shared" si="16"/>
        <v>50570.423</v>
      </c>
      <c r="H86" s="18">
        <f t="shared" si="17"/>
        <v>2537</v>
      </c>
      <c r="I86" s="27" t="s">
        <v>447</v>
      </c>
      <c r="J86" s="28" t="s">
        <v>448</v>
      </c>
      <c r="K86" s="27">
        <v>2537</v>
      </c>
      <c r="L86" s="27" t="s">
        <v>307</v>
      </c>
      <c r="M86" s="28" t="s">
        <v>190</v>
      </c>
      <c r="N86" s="28"/>
      <c r="O86" s="29" t="s">
        <v>231</v>
      </c>
      <c r="P86" s="29" t="s">
        <v>449</v>
      </c>
    </row>
    <row r="87" spans="1:16" ht="12.75" customHeight="1" thickBot="1" x14ac:dyDescent="0.25">
      <c r="A87" s="18" t="str">
        <f t="shared" si="12"/>
        <v> JAAVSO 41;122 </v>
      </c>
      <c r="B87" s="2" t="str">
        <f t="shared" si="13"/>
        <v>I</v>
      </c>
      <c r="C87" s="18">
        <f t="shared" si="14"/>
        <v>50586.614000000001</v>
      </c>
      <c r="D87" s="15" t="str">
        <f t="shared" si="15"/>
        <v>vis</v>
      </c>
      <c r="E87" s="26">
        <f>VLOOKUP(C87,Active!C$21:E$969,3,FALSE)</f>
        <v>2545.000016069449</v>
      </c>
      <c r="F87" s="2" t="s">
        <v>126</v>
      </c>
      <c r="G87" s="15" t="str">
        <f t="shared" si="16"/>
        <v>50586.614</v>
      </c>
      <c r="H87" s="18">
        <f t="shared" si="17"/>
        <v>2545</v>
      </c>
      <c r="I87" s="27" t="s">
        <v>450</v>
      </c>
      <c r="J87" s="28" t="s">
        <v>451</v>
      </c>
      <c r="K87" s="27">
        <v>2545</v>
      </c>
      <c r="L87" s="27" t="s">
        <v>341</v>
      </c>
      <c r="M87" s="28" t="s">
        <v>190</v>
      </c>
      <c r="N87" s="28"/>
      <c r="O87" s="29" t="s">
        <v>452</v>
      </c>
      <c r="P87" s="29" t="s">
        <v>453</v>
      </c>
    </row>
    <row r="88" spans="1:16" ht="12.75" customHeight="1" thickBot="1" x14ac:dyDescent="0.25">
      <c r="A88" s="18" t="str">
        <f t="shared" si="12"/>
        <v>IBVS 4888 </v>
      </c>
      <c r="B88" s="2" t="str">
        <f t="shared" si="13"/>
        <v>I</v>
      </c>
      <c r="C88" s="18">
        <f t="shared" si="14"/>
        <v>50849.529300000002</v>
      </c>
      <c r="D88" s="15" t="str">
        <f t="shared" si="15"/>
        <v>vis</v>
      </c>
      <c r="E88" s="26">
        <f>VLOOKUP(C88,Active!C$21:E$969,3,FALSE)</f>
        <v>2674.9970518744035</v>
      </c>
      <c r="F88" s="2" t="s">
        <v>126</v>
      </c>
      <c r="G88" s="15" t="str">
        <f t="shared" si="16"/>
        <v>50849.5293</v>
      </c>
      <c r="H88" s="18">
        <f t="shared" si="17"/>
        <v>2675</v>
      </c>
      <c r="I88" s="27" t="s">
        <v>454</v>
      </c>
      <c r="J88" s="28" t="s">
        <v>455</v>
      </c>
      <c r="K88" s="27">
        <v>2675</v>
      </c>
      <c r="L88" s="27" t="s">
        <v>456</v>
      </c>
      <c r="M88" s="28" t="s">
        <v>417</v>
      </c>
      <c r="N88" s="28" t="s">
        <v>457</v>
      </c>
      <c r="O88" s="29" t="s">
        <v>458</v>
      </c>
      <c r="P88" s="30" t="s">
        <v>459</v>
      </c>
    </row>
    <row r="89" spans="1:16" ht="12.75" customHeight="1" thickBot="1" x14ac:dyDescent="0.25">
      <c r="A89" s="18" t="str">
        <f t="shared" si="12"/>
        <v>BAVM 158 </v>
      </c>
      <c r="B89" s="2" t="str">
        <f t="shared" si="13"/>
        <v>I</v>
      </c>
      <c r="C89" s="18">
        <f t="shared" si="14"/>
        <v>52368.400199999996</v>
      </c>
      <c r="D89" s="15" t="str">
        <f t="shared" si="15"/>
        <v>vis</v>
      </c>
      <c r="E89" s="26">
        <f>VLOOKUP(C89,Active!C$21:E$969,3,FALSE)</f>
        <v>3425.9944824933245</v>
      </c>
      <c r="F89" s="2" t="s">
        <v>126</v>
      </c>
      <c r="G89" s="15" t="str">
        <f t="shared" si="16"/>
        <v>52368.4002</v>
      </c>
      <c r="H89" s="18">
        <f t="shared" si="17"/>
        <v>3426</v>
      </c>
      <c r="I89" s="27" t="s">
        <v>464</v>
      </c>
      <c r="J89" s="28" t="s">
        <v>465</v>
      </c>
      <c r="K89" s="27">
        <v>3426</v>
      </c>
      <c r="L89" s="27" t="s">
        <v>466</v>
      </c>
      <c r="M89" s="28" t="s">
        <v>417</v>
      </c>
      <c r="N89" s="28" t="s">
        <v>467</v>
      </c>
      <c r="O89" s="29" t="s">
        <v>419</v>
      </c>
      <c r="P89" s="30" t="s">
        <v>468</v>
      </c>
    </row>
    <row r="90" spans="1:16" ht="12.75" customHeight="1" thickBot="1" x14ac:dyDescent="0.25">
      <c r="A90" s="18" t="str">
        <f t="shared" si="12"/>
        <v>BAVM 158 </v>
      </c>
      <c r="B90" s="2" t="str">
        <f t="shared" si="13"/>
        <v>I</v>
      </c>
      <c r="C90" s="18">
        <f t="shared" si="14"/>
        <v>52372.444499999998</v>
      </c>
      <c r="D90" s="15" t="str">
        <f t="shared" si="15"/>
        <v>vis</v>
      </c>
      <c r="E90" s="26">
        <f>VLOOKUP(C90,Active!C$21:E$969,3,FALSE)</f>
        <v>3427.9941645654826</v>
      </c>
      <c r="F90" s="2" t="s">
        <v>126</v>
      </c>
      <c r="G90" s="15" t="str">
        <f t="shared" si="16"/>
        <v>52372.4445</v>
      </c>
      <c r="H90" s="18">
        <f t="shared" si="17"/>
        <v>3428</v>
      </c>
      <c r="I90" s="27" t="s">
        <v>469</v>
      </c>
      <c r="J90" s="28" t="s">
        <v>470</v>
      </c>
      <c r="K90" s="27">
        <v>3428</v>
      </c>
      <c r="L90" s="27" t="s">
        <v>471</v>
      </c>
      <c r="M90" s="28" t="s">
        <v>417</v>
      </c>
      <c r="N90" s="28" t="s">
        <v>472</v>
      </c>
      <c r="O90" s="29" t="s">
        <v>473</v>
      </c>
      <c r="P90" s="30" t="s">
        <v>468</v>
      </c>
    </row>
    <row r="91" spans="1:16" ht="12.75" customHeight="1" thickBot="1" x14ac:dyDescent="0.25">
      <c r="A91" s="18" t="str">
        <f t="shared" si="12"/>
        <v>BAVM 158 </v>
      </c>
      <c r="B91" s="2" t="str">
        <f t="shared" si="13"/>
        <v>I</v>
      </c>
      <c r="C91" s="18">
        <f t="shared" si="14"/>
        <v>52730.424200000001</v>
      </c>
      <c r="D91" s="15" t="str">
        <f t="shared" si="15"/>
        <v>vis</v>
      </c>
      <c r="E91" s="26">
        <f>VLOOKUP(C91,Active!C$21:E$969,3,FALSE)</f>
        <v>3604.995274346265</v>
      </c>
      <c r="F91" s="2" t="s">
        <v>126</v>
      </c>
      <c r="G91" s="15" t="str">
        <f t="shared" si="16"/>
        <v>52730.4242</v>
      </c>
      <c r="H91" s="18">
        <f t="shared" si="17"/>
        <v>3605</v>
      </c>
      <c r="I91" s="27" t="s">
        <v>474</v>
      </c>
      <c r="J91" s="28" t="s">
        <v>475</v>
      </c>
      <c r="K91" s="27">
        <v>3605</v>
      </c>
      <c r="L91" s="27" t="s">
        <v>476</v>
      </c>
      <c r="M91" s="28" t="s">
        <v>417</v>
      </c>
      <c r="N91" s="28" t="s">
        <v>477</v>
      </c>
      <c r="O91" s="29" t="s">
        <v>419</v>
      </c>
      <c r="P91" s="30" t="s">
        <v>468</v>
      </c>
    </row>
    <row r="92" spans="1:16" ht="12.75" customHeight="1" thickBot="1" x14ac:dyDescent="0.25">
      <c r="A92" s="18" t="str">
        <f t="shared" si="12"/>
        <v>BAVM 172 </v>
      </c>
      <c r="B92" s="2" t="str">
        <f t="shared" si="13"/>
        <v>I</v>
      </c>
      <c r="C92" s="18">
        <f t="shared" si="14"/>
        <v>53094.472900000001</v>
      </c>
      <c r="D92" s="15" t="str">
        <f t="shared" si="15"/>
        <v>vis</v>
      </c>
      <c r="E92" s="26">
        <f>VLOOKUP(C92,Active!C$21:E$969,3,FALSE)</f>
        <v>3784.9971680688709</v>
      </c>
      <c r="F92" s="2" t="s">
        <v>126</v>
      </c>
      <c r="G92" s="15" t="str">
        <f t="shared" si="16"/>
        <v>53094.4729</v>
      </c>
      <c r="H92" s="18">
        <f t="shared" si="17"/>
        <v>3785</v>
      </c>
      <c r="I92" s="27" t="s">
        <v>484</v>
      </c>
      <c r="J92" s="28" t="s">
        <v>485</v>
      </c>
      <c r="K92" s="27" t="s">
        <v>486</v>
      </c>
      <c r="L92" s="27" t="s">
        <v>487</v>
      </c>
      <c r="M92" s="28" t="s">
        <v>417</v>
      </c>
      <c r="N92" s="28" t="s">
        <v>477</v>
      </c>
      <c r="O92" s="29" t="s">
        <v>419</v>
      </c>
      <c r="P92" s="30" t="s">
        <v>488</v>
      </c>
    </row>
    <row r="93" spans="1:16" ht="12.75" customHeight="1" thickBot="1" x14ac:dyDescent="0.25">
      <c r="A93" s="18" t="str">
        <f t="shared" si="12"/>
        <v>IBVS 5694 </v>
      </c>
      <c r="B93" s="2" t="str">
        <f t="shared" si="13"/>
        <v>I</v>
      </c>
      <c r="C93" s="18">
        <f t="shared" si="14"/>
        <v>53405.933599999997</v>
      </c>
      <c r="D93" s="15" t="str">
        <f t="shared" si="15"/>
        <v>vis</v>
      </c>
      <c r="E93" s="26">
        <f>VLOOKUP(C93,Active!C$21:E$969,3,FALSE)</f>
        <v>3938.9972120744337</v>
      </c>
      <c r="F93" s="2" t="s">
        <v>126</v>
      </c>
      <c r="G93" s="15" t="str">
        <f t="shared" si="16"/>
        <v>53405.9336</v>
      </c>
      <c r="H93" s="18">
        <f t="shared" si="17"/>
        <v>3939</v>
      </c>
      <c r="I93" s="27" t="s">
        <v>489</v>
      </c>
      <c r="J93" s="28" t="s">
        <v>490</v>
      </c>
      <c r="K93" s="27" t="s">
        <v>491</v>
      </c>
      <c r="L93" s="27" t="s">
        <v>492</v>
      </c>
      <c r="M93" s="28" t="s">
        <v>417</v>
      </c>
      <c r="N93" s="28" t="s">
        <v>457</v>
      </c>
      <c r="O93" s="29" t="s">
        <v>493</v>
      </c>
      <c r="P93" s="30" t="s">
        <v>494</v>
      </c>
    </row>
    <row r="94" spans="1:16" ht="12.75" customHeight="1" thickBot="1" x14ac:dyDescent="0.25">
      <c r="A94" s="18" t="str">
        <f t="shared" si="12"/>
        <v>IBVS 5893 </v>
      </c>
      <c r="B94" s="2" t="str">
        <f t="shared" si="13"/>
        <v>I</v>
      </c>
      <c r="C94" s="18">
        <f t="shared" si="14"/>
        <v>54166.388299999999</v>
      </c>
      <c r="D94" s="15" t="str">
        <f t="shared" si="15"/>
        <v>vis</v>
      </c>
      <c r="E94" s="26">
        <f>VLOOKUP(C94,Active!C$21:E$969,3,FALSE)</f>
        <v>4314.9998899860884</v>
      </c>
      <c r="F94" s="2" t="s">
        <v>126</v>
      </c>
      <c r="G94" s="15" t="str">
        <f t="shared" si="16"/>
        <v>54166.3883</v>
      </c>
      <c r="H94" s="18">
        <f t="shared" si="17"/>
        <v>4315</v>
      </c>
      <c r="I94" s="27" t="s">
        <v>513</v>
      </c>
      <c r="J94" s="28" t="s">
        <v>514</v>
      </c>
      <c r="K94" s="27" t="s">
        <v>515</v>
      </c>
      <c r="L94" s="27" t="s">
        <v>516</v>
      </c>
      <c r="M94" s="28" t="s">
        <v>517</v>
      </c>
      <c r="N94" s="28" t="s">
        <v>118</v>
      </c>
      <c r="O94" s="29" t="s">
        <v>518</v>
      </c>
      <c r="P94" s="30" t="s">
        <v>519</v>
      </c>
    </row>
    <row r="95" spans="1:16" ht="12.75" customHeight="1" thickBot="1" x14ac:dyDescent="0.25">
      <c r="A95" s="18" t="str">
        <f t="shared" si="12"/>
        <v>BAVM 201 </v>
      </c>
      <c r="B95" s="2" t="str">
        <f t="shared" si="13"/>
        <v>I</v>
      </c>
      <c r="C95" s="18">
        <f t="shared" si="14"/>
        <v>54532.457600000002</v>
      </c>
      <c r="D95" s="15" t="str">
        <f t="shared" si="15"/>
        <v>vis</v>
      </c>
      <c r="E95" s="26">
        <f>VLOOKUP(C95,Active!C$21:E$969,3,FALSE)</f>
        <v>4496.000858355731</v>
      </c>
      <c r="F95" s="2" t="s">
        <v>126</v>
      </c>
      <c r="G95" s="15" t="str">
        <f t="shared" si="16"/>
        <v>54532.4576</v>
      </c>
      <c r="H95" s="18">
        <f t="shared" si="17"/>
        <v>4496</v>
      </c>
      <c r="I95" s="27" t="s">
        <v>520</v>
      </c>
      <c r="J95" s="28" t="s">
        <v>521</v>
      </c>
      <c r="K95" s="27" t="s">
        <v>522</v>
      </c>
      <c r="L95" s="27" t="s">
        <v>523</v>
      </c>
      <c r="M95" s="28" t="s">
        <v>517</v>
      </c>
      <c r="N95" s="28" t="s">
        <v>467</v>
      </c>
      <c r="O95" s="29" t="s">
        <v>419</v>
      </c>
      <c r="P95" s="30" t="s">
        <v>524</v>
      </c>
    </row>
    <row r="96" spans="1:16" ht="12.75" customHeight="1" thickBot="1" x14ac:dyDescent="0.25">
      <c r="A96" s="18" t="str">
        <f t="shared" si="12"/>
        <v>IBVS 5943 </v>
      </c>
      <c r="B96" s="2" t="str">
        <f t="shared" si="13"/>
        <v>II</v>
      </c>
      <c r="C96" s="18">
        <f t="shared" si="14"/>
        <v>55158.412300000004</v>
      </c>
      <c r="D96" s="15" t="str">
        <f t="shared" si="15"/>
        <v>vis</v>
      </c>
      <c r="E96" s="26">
        <f>VLOOKUP(C96,Active!C$21:E$969,3,FALSE)</f>
        <v>4805.5007450043204</v>
      </c>
      <c r="F96" s="2" t="s">
        <v>126</v>
      </c>
      <c r="G96" s="15" t="str">
        <f t="shared" si="16"/>
        <v>55158.4123</v>
      </c>
      <c r="H96" s="18">
        <f t="shared" si="17"/>
        <v>4805.5</v>
      </c>
      <c r="I96" s="27" t="s">
        <v>525</v>
      </c>
      <c r="J96" s="28" t="s">
        <v>526</v>
      </c>
      <c r="K96" s="27" t="s">
        <v>527</v>
      </c>
      <c r="L96" s="27" t="s">
        <v>528</v>
      </c>
      <c r="M96" s="28" t="s">
        <v>517</v>
      </c>
      <c r="N96" s="28" t="s">
        <v>92</v>
      </c>
      <c r="O96" s="29" t="s">
        <v>529</v>
      </c>
      <c r="P96" s="30" t="s">
        <v>530</v>
      </c>
    </row>
    <row r="97" spans="1:16" ht="12.75" customHeight="1" thickBot="1" x14ac:dyDescent="0.25">
      <c r="A97" s="18" t="str">
        <f t="shared" si="12"/>
        <v>IBVS 5988 </v>
      </c>
      <c r="B97" s="2" t="str">
        <f t="shared" si="13"/>
        <v>I</v>
      </c>
      <c r="C97" s="18">
        <f t="shared" si="14"/>
        <v>55329.316700000003</v>
      </c>
      <c r="D97" s="15" t="str">
        <f t="shared" si="15"/>
        <v>vis</v>
      </c>
      <c r="E97" s="26">
        <f>VLOOKUP(C97,Active!C$21:E$969,3,FALSE)</f>
        <v>4890.0034932507106</v>
      </c>
      <c r="F97" s="2" t="s">
        <v>126</v>
      </c>
      <c r="G97" s="15" t="str">
        <f t="shared" si="16"/>
        <v>55329.3167</v>
      </c>
      <c r="H97" s="18">
        <f t="shared" si="17"/>
        <v>4890</v>
      </c>
      <c r="I97" s="27" t="s">
        <v>531</v>
      </c>
      <c r="J97" s="28" t="s">
        <v>532</v>
      </c>
      <c r="K97" s="27" t="s">
        <v>533</v>
      </c>
      <c r="L97" s="27" t="s">
        <v>534</v>
      </c>
      <c r="M97" s="28" t="s">
        <v>517</v>
      </c>
      <c r="N97" s="28" t="s">
        <v>535</v>
      </c>
      <c r="O97" s="29" t="s">
        <v>518</v>
      </c>
      <c r="P97" s="30" t="s">
        <v>536</v>
      </c>
    </row>
    <row r="98" spans="1:16" ht="12.75" customHeight="1" thickBot="1" x14ac:dyDescent="0.25">
      <c r="A98" s="18" t="str">
        <f t="shared" si="12"/>
        <v>IBVS 5960 </v>
      </c>
      <c r="B98" s="2" t="str">
        <f t="shared" si="13"/>
        <v>I</v>
      </c>
      <c r="C98" s="18">
        <f t="shared" si="14"/>
        <v>55559.881399999998</v>
      </c>
      <c r="D98" s="15" t="str">
        <f t="shared" si="15"/>
        <v>vis</v>
      </c>
      <c r="E98" s="26">
        <f>VLOOKUP(C98,Active!C$21:E$969,3,FALSE)</f>
        <v>5004.0049513676704</v>
      </c>
      <c r="F98" s="2" t="s">
        <v>126</v>
      </c>
      <c r="G98" s="15" t="str">
        <f t="shared" si="16"/>
        <v>55559.8814</v>
      </c>
      <c r="H98" s="18">
        <f t="shared" si="17"/>
        <v>5004</v>
      </c>
      <c r="I98" s="27" t="s">
        <v>537</v>
      </c>
      <c r="J98" s="28" t="s">
        <v>538</v>
      </c>
      <c r="K98" s="27" t="s">
        <v>539</v>
      </c>
      <c r="L98" s="27" t="s">
        <v>540</v>
      </c>
      <c r="M98" s="28" t="s">
        <v>517</v>
      </c>
      <c r="N98" s="28" t="s">
        <v>126</v>
      </c>
      <c r="O98" s="29" t="s">
        <v>196</v>
      </c>
      <c r="P98" s="30" t="s">
        <v>541</v>
      </c>
    </row>
    <row r="99" spans="1:16" ht="12.75" customHeight="1" thickBot="1" x14ac:dyDescent="0.25">
      <c r="A99" s="18" t="str">
        <f t="shared" si="12"/>
        <v>BAVM 220 </v>
      </c>
      <c r="B99" s="2" t="str">
        <f t="shared" si="13"/>
        <v>I</v>
      </c>
      <c r="C99" s="18">
        <f t="shared" si="14"/>
        <v>55622.580199999997</v>
      </c>
      <c r="D99" s="15" t="str">
        <f t="shared" si="15"/>
        <v>vis</v>
      </c>
      <c r="E99" s="26">
        <f>VLOOKUP(C99,Active!C$21:E$969,3,FALSE)</f>
        <v>5035.0060309873334</v>
      </c>
      <c r="F99" s="2" t="s">
        <v>126</v>
      </c>
      <c r="G99" s="15" t="str">
        <f t="shared" si="16"/>
        <v>55622.5802</v>
      </c>
      <c r="H99" s="18">
        <f t="shared" si="17"/>
        <v>5035</v>
      </c>
      <c r="I99" s="27" t="s">
        <v>555</v>
      </c>
      <c r="J99" s="28" t="s">
        <v>556</v>
      </c>
      <c r="K99" s="27">
        <v>5035</v>
      </c>
      <c r="L99" s="27" t="s">
        <v>557</v>
      </c>
      <c r="M99" s="28" t="s">
        <v>517</v>
      </c>
      <c r="N99" s="28">
        <v>0</v>
      </c>
      <c r="O99" s="29" t="s">
        <v>419</v>
      </c>
      <c r="P99" s="30" t="s">
        <v>558</v>
      </c>
    </row>
    <row r="100" spans="1:16" ht="12.75" customHeight="1" thickBot="1" x14ac:dyDescent="0.25">
      <c r="A100" s="18" t="str">
        <f t="shared" si="12"/>
        <v>IBVS 6029 </v>
      </c>
      <c r="B100" s="2" t="str">
        <f t="shared" si="13"/>
        <v>I</v>
      </c>
      <c r="C100" s="18">
        <f t="shared" si="14"/>
        <v>55990.674200000001</v>
      </c>
      <c r="D100" s="15" t="str">
        <f t="shared" si="15"/>
        <v>vis</v>
      </c>
      <c r="E100" s="26">
        <f>VLOOKUP(C100,Active!C$21:E$969,3,FALSE)</f>
        <v>5217.0081012266437</v>
      </c>
      <c r="F100" s="2" t="s">
        <v>126</v>
      </c>
      <c r="G100" s="15" t="str">
        <f t="shared" si="16"/>
        <v>55990.6742</v>
      </c>
      <c r="H100" s="18">
        <f t="shared" si="17"/>
        <v>5217</v>
      </c>
      <c r="I100" s="27" t="s">
        <v>564</v>
      </c>
      <c r="J100" s="28" t="s">
        <v>565</v>
      </c>
      <c r="K100" s="27">
        <v>5217</v>
      </c>
      <c r="L100" s="27" t="s">
        <v>566</v>
      </c>
      <c r="M100" s="28" t="s">
        <v>517</v>
      </c>
      <c r="N100" s="28" t="s">
        <v>126</v>
      </c>
      <c r="O100" s="29" t="s">
        <v>196</v>
      </c>
      <c r="P100" s="30" t="s">
        <v>567</v>
      </c>
    </row>
    <row r="101" spans="1:16" ht="12.75" customHeight="1" thickBot="1" x14ac:dyDescent="0.25">
      <c r="A101" s="18" t="str">
        <f t="shared" si="12"/>
        <v>BAVM 234 </v>
      </c>
      <c r="B101" s="2" t="str">
        <f t="shared" si="13"/>
        <v>I</v>
      </c>
      <c r="C101" s="18">
        <f t="shared" si="14"/>
        <v>56690.453500000003</v>
      </c>
      <c r="D101" s="15" t="str">
        <f t="shared" si="15"/>
        <v>vis</v>
      </c>
      <c r="E101" s="26">
        <f>VLOOKUP(C101,Active!C$21:E$969,3,FALSE)</f>
        <v>5563.0101586103956</v>
      </c>
      <c r="F101" s="2" t="s">
        <v>126</v>
      </c>
      <c r="G101" s="15" t="str">
        <f t="shared" si="16"/>
        <v>56690.4535</v>
      </c>
      <c r="H101" s="18">
        <f t="shared" si="17"/>
        <v>5563</v>
      </c>
      <c r="I101" s="27" t="s">
        <v>568</v>
      </c>
      <c r="J101" s="28" t="s">
        <v>569</v>
      </c>
      <c r="K101" s="27">
        <v>5563</v>
      </c>
      <c r="L101" s="27" t="s">
        <v>570</v>
      </c>
      <c r="M101" s="28" t="s">
        <v>517</v>
      </c>
      <c r="N101" s="28">
        <v>0</v>
      </c>
      <c r="O101" s="29" t="s">
        <v>419</v>
      </c>
      <c r="P101" s="30" t="s">
        <v>571</v>
      </c>
    </row>
    <row r="102" spans="1:16" ht="12.75" customHeight="1" thickBot="1" x14ac:dyDescent="0.25">
      <c r="A102" s="18" t="str">
        <f t="shared" si="12"/>
        <v>BAVM 239 </v>
      </c>
      <c r="B102" s="2" t="str">
        <f t="shared" si="13"/>
        <v>I</v>
      </c>
      <c r="C102" s="18">
        <f t="shared" si="14"/>
        <v>57056.525199999996</v>
      </c>
      <c r="D102" s="15" t="str">
        <f t="shared" si="15"/>
        <v>vis</v>
      </c>
      <c r="E102" s="26">
        <f>VLOOKUP(C102,Active!C$21:E$969,3,FALSE)</f>
        <v>5744.0123136469401</v>
      </c>
      <c r="F102" s="2" t="s">
        <v>126</v>
      </c>
      <c r="G102" s="15" t="str">
        <f t="shared" si="16"/>
        <v>57056.5252</v>
      </c>
      <c r="H102" s="18">
        <f t="shared" si="17"/>
        <v>5744</v>
      </c>
      <c r="I102" s="27" t="s">
        <v>572</v>
      </c>
      <c r="J102" s="28" t="s">
        <v>573</v>
      </c>
      <c r="K102" s="27">
        <v>5744</v>
      </c>
      <c r="L102" s="27" t="s">
        <v>574</v>
      </c>
      <c r="M102" s="28" t="s">
        <v>517</v>
      </c>
      <c r="N102" s="28">
        <v>0</v>
      </c>
      <c r="O102" s="29" t="s">
        <v>419</v>
      </c>
      <c r="P102" s="30" t="s">
        <v>575</v>
      </c>
    </row>
    <row r="103" spans="1:16" ht="12.75" customHeight="1" thickBot="1" x14ac:dyDescent="0.25">
      <c r="A103" s="18" t="str">
        <f t="shared" si="12"/>
        <v> MVS 206 </v>
      </c>
      <c r="B103" s="2" t="str">
        <f t="shared" si="13"/>
        <v>I</v>
      </c>
      <c r="C103" s="18">
        <f t="shared" si="14"/>
        <v>27483.452000000001</v>
      </c>
      <c r="D103" s="15" t="str">
        <f t="shared" si="15"/>
        <v>vis</v>
      </c>
      <c r="E103" s="26">
        <f>VLOOKUP(C103,Active!C$21:E$969,3,FALSE)</f>
        <v>-8878.2324003082358</v>
      </c>
      <c r="F103" s="2" t="s">
        <v>126</v>
      </c>
      <c r="G103" s="15" t="str">
        <f t="shared" si="16"/>
        <v>27483.452</v>
      </c>
      <c r="H103" s="18">
        <f t="shared" si="17"/>
        <v>-8878</v>
      </c>
      <c r="I103" s="27" t="s">
        <v>128</v>
      </c>
      <c r="J103" s="28" t="s">
        <v>129</v>
      </c>
      <c r="K103" s="27">
        <v>-8878</v>
      </c>
      <c r="L103" s="27" t="s">
        <v>130</v>
      </c>
      <c r="M103" s="28" t="s">
        <v>131</v>
      </c>
      <c r="N103" s="28"/>
      <c r="O103" s="29" t="s">
        <v>132</v>
      </c>
      <c r="P103" s="29" t="s">
        <v>133</v>
      </c>
    </row>
    <row r="104" spans="1:16" ht="12.75" customHeight="1" thickBot="1" x14ac:dyDescent="0.25">
      <c r="A104" s="18" t="str">
        <f t="shared" si="12"/>
        <v> KVB 9.5 </v>
      </c>
      <c r="B104" s="2" t="str">
        <f t="shared" si="13"/>
        <v>I</v>
      </c>
      <c r="C104" s="18">
        <f t="shared" si="14"/>
        <v>28636.395</v>
      </c>
      <c r="D104" s="15" t="str">
        <f t="shared" si="15"/>
        <v>vis</v>
      </c>
      <c r="E104" s="26">
        <f>VLOOKUP(C104,Active!C$21:E$969,3,FALSE)</f>
        <v>-8308.1660236003318</v>
      </c>
      <c r="F104" s="2" t="s">
        <v>126</v>
      </c>
      <c r="G104" s="15" t="str">
        <f t="shared" si="16"/>
        <v>28636.395</v>
      </c>
      <c r="H104" s="18">
        <f t="shared" si="17"/>
        <v>-8308</v>
      </c>
      <c r="I104" s="27" t="s">
        <v>134</v>
      </c>
      <c r="J104" s="28" t="s">
        <v>135</v>
      </c>
      <c r="K104" s="27">
        <v>-8308</v>
      </c>
      <c r="L104" s="27" t="s">
        <v>136</v>
      </c>
      <c r="M104" s="28" t="s">
        <v>131</v>
      </c>
      <c r="N104" s="28"/>
      <c r="O104" s="29" t="s">
        <v>137</v>
      </c>
      <c r="P104" s="29" t="s">
        <v>138</v>
      </c>
    </row>
    <row r="105" spans="1:16" ht="12.75" customHeight="1" thickBot="1" x14ac:dyDescent="0.25">
      <c r="A105" s="18" t="str">
        <f t="shared" si="12"/>
        <v> KVB 9.5 </v>
      </c>
      <c r="B105" s="2" t="str">
        <f t="shared" si="13"/>
        <v>I</v>
      </c>
      <c r="C105" s="18">
        <f t="shared" si="14"/>
        <v>29194.596000000001</v>
      </c>
      <c r="D105" s="15" t="str">
        <f t="shared" si="15"/>
        <v>vis</v>
      </c>
      <c r="E105" s="26">
        <f>VLOOKUP(C105,Active!C$21:E$969,3,FALSE)</f>
        <v>-8032.1665843004448</v>
      </c>
      <c r="F105" s="2" t="s">
        <v>126</v>
      </c>
      <c r="G105" s="15" t="str">
        <f t="shared" si="16"/>
        <v>29194.596</v>
      </c>
      <c r="H105" s="18">
        <f t="shared" si="17"/>
        <v>-8032</v>
      </c>
      <c r="I105" s="27" t="s">
        <v>139</v>
      </c>
      <c r="J105" s="28" t="s">
        <v>140</v>
      </c>
      <c r="K105" s="27">
        <v>-8032</v>
      </c>
      <c r="L105" s="27" t="s">
        <v>141</v>
      </c>
      <c r="M105" s="28" t="s">
        <v>131</v>
      </c>
      <c r="N105" s="28"/>
      <c r="O105" s="29" t="s">
        <v>137</v>
      </c>
      <c r="P105" s="29" t="s">
        <v>138</v>
      </c>
    </row>
    <row r="106" spans="1:16" ht="12.75" customHeight="1" thickBot="1" x14ac:dyDescent="0.25">
      <c r="A106" s="18" t="str">
        <f t="shared" si="12"/>
        <v> MVS 206 </v>
      </c>
      <c r="B106" s="2" t="str">
        <f t="shared" si="13"/>
        <v>I</v>
      </c>
      <c r="C106" s="18">
        <f t="shared" si="14"/>
        <v>30262.573</v>
      </c>
      <c r="D106" s="15" t="str">
        <f t="shared" si="15"/>
        <v>vis</v>
      </c>
      <c r="E106" s="26">
        <f>VLOOKUP(C106,Active!C$21:E$969,3,FALSE)</f>
        <v>-7504.1111827781006</v>
      </c>
      <c r="F106" s="2" t="s">
        <v>126</v>
      </c>
      <c r="G106" s="15" t="str">
        <f t="shared" si="16"/>
        <v>30262.573</v>
      </c>
      <c r="H106" s="18">
        <f t="shared" si="17"/>
        <v>-7504</v>
      </c>
      <c r="I106" s="27" t="s">
        <v>142</v>
      </c>
      <c r="J106" s="28" t="s">
        <v>143</v>
      </c>
      <c r="K106" s="27">
        <v>-7504</v>
      </c>
      <c r="L106" s="27" t="s">
        <v>144</v>
      </c>
      <c r="M106" s="28" t="s">
        <v>131</v>
      </c>
      <c r="N106" s="28"/>
      <c r="O106" s="29" t="s">
        <v>132</v>
      </c>
      <c r="P106" s="29" t="s">
        <v>133</v>
      </c>
    </row>
    <row r="107" spans="1:16" ht="12.75" customHeight="1" thickBot="1" x14ac:dyDescent="0.25">
      <c r="A107" s="18" t="str">
        <f t="shared" ref="A107:A132" si="18">P107</f>
        <v> MVS 206 </v>
      </c>
      <c r="B107" s="2" t="str">
        <f t="shared" ref="B107:B132" si="19">IF(H107=INT(H107),"I","II")</f>
        <v>I</v>
      </c>
      <c r="C107" s="18">
        <f t="shared" ref="C107:C132" si="20">1*G107</f>
        <v>30428.391</v>
      </c>
      <c r="D107" s="15" t="str">
        <f t="shared" ref="D107:D132" si="21">VLOOKUP(F107,I$1:J$5,2,FALSE)</f>
        <v>vis</v>
      </c>
      <c r="E107" s="26">
        <f>VLOOKUP(C107,Active!C$21:E$969,3,FALSE)</f>
        <v>-7422.1233772639071</v>
      </c>
      <c r="F107" s="2" t="s">
        <v>126</v>
      </c>
      <c r="G107" s="15" t="str">
        <f t="shared" ref="G107:G132" si="22">MID(I107,3,LEN(I107)-3)</f>
        <v>30428.391</v>
      </c>
      <c r="H107" s="18">
        <f t="shared" ref="H107:H132" si="23">1*K107</f>
        <v>-7422</v>
      </c>
      <c r="I107" s="27" t="s">
        <v>145</v>
      </c>
      <c r="J107" s="28" t="s">
        <v>146</v>
      </c>
      <c r="K107" s="27">
        <v>-7422</v>
      </c>
      <c r="L107" s="27" t="s">
        <v>147</v>
      </c>
      <c r="M107" s="28" t="s">
        <v>131</v>
      </c>
      <c r="N107" s="28"/>
      <c r="O107" s="29" t="s">
        <v>132</v>
      </c>
      <c r="P107" s="29" t="s">
        <v>133</v>
      </c>
    </row>
    <row r="108" spans="1:16" ht="12.75" customHeight="1" thickBot="1" x14ac:dyDescent="0.25">
      <c r="A108" s="18" t="str">
        <f t="shared" si="18"/>
        <v> MVS 206 </v>
      </c>
      <c r="B108" s="2" t="str">
        <f t="shared" si="19"/>
        <v>I</v>
      </c>
      <c r="C108" s="18">
        <f t="shared" si="20"/>
        <v>30440.424999999999</v>
      </c>
      <c r="D108" s="15" t="str">
        <f t="shared" si="21"/>
        <v>vis</v>
      </c>
      <c r="E108" s="26">
        <f>VLOOKUP(C108,Active!C$21:E$969,3,FALSE)</f>
        <v>-7416.1732316129055</v>
      </c>
      <c r="F108" s="2" t="s">
        <v>126</v>
      </c>
      <c r="G108" s="15" t="str">
        <f t="shared" si="22"/>
        <v>30440.425</v>
      </c>
      <c r="H108" s="18">
        <f t="shared" si="23"/>
        <v>-7416</v>
      </c>
      <c r="I108" s="27" t="s">
        <v>148</v>
      </c>
      <c r="J108" s="28" t="s">
        <v>149</v>
      </c>
      <c r="K108" s="27">
        <v>-7416</v>
      </c>
      <c r="L108" s="27" t="s">
        <v>150</v>
      </c>
      <c r="M108" s="28" t="s">
        <v>131</v>
      </c>
      <c r="N108" s="28"/>
      <c r="O108" s="29" t="s">
        <v>132</v>
      </c>
      <c r="P108" s="29" t="s">
        <v>133</v>
      </c>
    </row>
    <row r="109" spans="1:16" ht="12.75" customHeight="1" thickBot="1" x14ac:dyDescent="0.25">
      <c r="A109" s="18" t="str">
        <f t="shared" si="18"/>
        <v> MVS 206 </v>
      </c>
      <c r="B109" s="2" t="str">
        <f t="shared" si="19"/>
        <v>I</v>
      </c>
      <c r="C109" s="18">
        <f t="shared" si="20"/>
        <v>30780.314999999999</v>
      </c>
      <c r="D109" s="15" t="str">
        <f t="shared" si="21"/>
        <v>vis</v>
      </c>
      <c r="E109" s="26">
        <f>VLOOKUP(C109,Active!C$21:E$969,3,FALSE)</f>
        <v>-7248.1164753125076</v>
      </c>
      <c r="F109" s="2" t="s">
        <v>126</v>
      </c>
      <c r="G109" s="15" t="str">
        <f t="shared" si="22"/>
        <v>30780.315</v>
      </c>
      <c r="H109" s="18">
        <f t="shared" si="23"/>
        <v>-7248</v>
      </c>
      <c r="I109" s="27" t="s">
        <v>151</v>
      </c>
      <c r="J109" s="28" t="s">
        <v>152</v>
      </c>
      <c r="K109" s="27">
        <v>-7248</v>
      </c>
      <c r="L109" s="27" t="s">
        <v>153</v>
      </c>
      <c r="M109" s="28" t="s">
        <v>131</v>
      </c>
      <c r="N109" s="28"/>
      <c r="O109" s="29" t="s">
        <v>132</v>
      </c>
      <c r="P109" s="29" t="s">
        <v>133</v>
      </c>
    </row>
    <row r="110" spans="1:16" ht="12.75" customHeight="1" thickBot="1" x14ac:dyDescent="0.25">
      <c r="A110" s="18" t="str">
        <f t="shared" si="18"/>
        <v> MVS 206 </v>
      </c>
      <c r="B110" s="2" t="str">
        <f t="shared" si="19"/>
        <v>I</v>
      </c>
      <c r="C110" s="18">
        <f t="shared" si="20"/>
        <v>30784.383999999998</v>
      </c>
      <c r="D110" s="15" t="str">
        <f t="shared" si="21"/>
        <v>vis</v>
      </c>
      <c r="E110" s="26">
        <f>VLOOKUP(C110,Active!C$21:E$969,3,FALSE)</f>
        <v>-7246.1045804600963</v>
      </c>
      <c r="F110" s="2" t="s">
        <v>126</v>
      </c>
      <c r="G110" s="15" t="str">
        <f t="shared" si="22"/>
        <v>30784.384</v>
      </c>
      <c r="H110" s="18">
        <f t="shared" si="23"/>
        <v>-7246</v>
      </c>
      <c r="I110" s="27" t="s">
        <v>154</v>
      </c>
      <c r="J110" s="28" t="s">
        <v>155</v>
      </c>
      <c r="K110" s="27">
        <v>-7246</v>
      </c>
      <c r="L110" s="27" t="s">
        <v>156</v>
      </c>
      <c r="M110" s="28" t="s">
        <v>131</v>
      </c>
      <c r="N110" s="28"/>
      <c r="O110" s="29" t="s">
        <v>132</v>
      </c>
      <c r="P110" s="29" t="s">
        <v>133</v>
      </c>
    </row>
    <row r="111" spans="1:16" ht="12.75" customHeight="1" thickBot="1" x14ac:dyDescent="0.25">
      <c r="A111" s="18" t="str">
        <f t="shared" si="18"/>
        <v> MVS 206 </v>
      </c>
      <c r="B111" s="2" t="str">
        <f t="shared" si="19"/>
        <v>I</v>
      </c>
      <c r="C111" s="18">
        <f t="shared" si="20"/>
        <v>30788.417000000001</v>
      </c>
      <c r="D111" s="15" t="str">
        <f t="shared" si="21"/>
        <v>vis</v>
      </c>
      <c r="E111" s="26">
        <f>VLOOKUP(C111,Active!C$21:E$969,3,FALSE)</f>
        <v>-7244.1104856112916</v>
      </c>
      <c r="F111" s="2" t="s">
        <v>126</v>
      </c>
      <c r="G111" s="15" t="str">
        <f t="shared" si="22"/>
        <v>30788.417</v>
      </c>
      <c r="H111" s="18">
        <f t="shared" si="23"/>
        <v>-7244</v>
      </c>
      <c r="I111" s="27" t="s">
        <v>157</v>
      </c>
      <c r="J111" s="28" t="s">
        <v>158</v>
      </c>
      <c r="K111" s="27">
        <v>-7244</v>
      </c>
      <c r="L111" s="27" t="s">
        <v>159</v>
      </c>
      <c r="M111" s="28" t="s">
        <v>131</v>
      </c>
      <c r="N111" s="28"/>
      <c r="O111" s="29" t="s">
        <v>132</v>
      </c>
      <c r="P111" s="29" t="s">
        <v>133</v>
      </c>
    </row>
    <row r="112" spans="1:16" ht="12.75" customHeight="1" thickBot="1" x14ac:dyDescent="0.25">
      <c r="A112" s="18" t="str">
        <f t="shared" si="18"/>
        <v> MVS 206 </v>
      </c>
      <c r="B112" s="2" t="str">
        <f t="shared" si="19"/>
        <v>I</v>
      </c>
      <c r="C112" s="18">
        <f t="shared" si="20"/>
        <v>30792.43</v>
      </c>
      <c r="D112" s="15" t="str">
        <f t="shared" si="21"/>
        <v>vis</v>
      </c>
      <c r="E112" s="26">
        <f>VLOOKUP(C112,Active!C$21:E$969,3,FALSE)</f>
        <v>-7242.1262796533838</v>
      </c>
      <c r="F112" s="2" t="s">
        <v>126</v>
      </c>
      <c r="G112" s="15" t="str">
        <f t="shared" si="22"/>
        <v>30792.430</v>
      </c>
      <c r="H112" s="18">
        <f t="shared" si="23"/>
        <v>-7242</v>
      </c>
      <c r="I112" s="27" t="s">
        <v>160</v>
      </c>
      <c r="J112" s="28" t="s">
        <v>161</v>
      </c>
      <c r="K112" s="27">
        <v>-7242</v>
      </c>
      <c r="L112" s="27" t="s">
        <v>162</v>
      </c>
      <c r="M112" s="28" t="s">
        <v>131</v>
      </c>
      <c r="N112" s="28"/>
      <c r="O112" s="29" t="s">
        <v>132</v>
      </c>
      <c r="P112" s="29" t="s">
        <v>133</v>
      </c>
    </row>
    <row r="113" spans="1:16" ht="12.75" customHeight="1" thickBot="1" x14ac:dyDescent="0.25">
      <c r="A113" s="18" t="str">
        <f t="shared" si="18"/>
        <v> MVS 206 </v>
      </c>
      <c r="B113" s="2" t="str">
        <f t="shared" si="19"/>
        <v>I</v>
      </c>
      <c r="C113" s="18">
        <f t="shared" si="20"/>
        <v>31144.399000000001</v>
      </c>
      <c r="D113" s="15" t="str">
        <f t="shared" si="21"/>
        <v>vis</v>
      </c>
      <c r="E113" s="26">
        <f>VLOOKUP(C113,Active!C$21:E$969,3,FALSE)</f>
        <v>-7068.0971276974724</v>
      </c>
      <c r="F113" s="2" t="s">
        <v>126</v>
      </c>
      <c r="G113" s="15" t="str">
        <f t="shared" si="22"/>
        <v>31144.399</v>
      </c>
      <c r="H113" s="18">
        <f t="shared" si="23"/>
        <v>-7068</v>
      </c>
      <c r="I113" s="27" t="s">
        <v>163</v>
      </c>
      <c r="J113" s="28" t="s">
        <v>164</v>
      </c>
      <c r="K113" s="27">
        <v>-7068</v>
      </c>
      <c r="L113" s="27" t="s">
        <v>165</v>
      </c>
      <c r="M113" s="28" t="s">
        <v>131</v>
      </c>
      <c r="N113" s="28"/>
      <c r="O113" s="29" t="s">
        <v>132</v>
      </c>
      <c r="P113" s="29" t="s">
        <v>133</v>
      </c>
    </row>
    <row r="114" spans="1:16" ht="12.75" customHeight="1" thickBot="1" x14ac:dyDescent="0.25">
      <c r="A114" s="18" t="str">
        <f t="shared" si="18"/>
        <v> MVS 206 </v>
      </c>
      <c r="B114" s="2" t="str">
        <f t="shared" si="19"/>
        <v>I</v>
      </c>
      <c r="C114" s="18">
        <f t="shared" si="20"/>
        <v>31441.576000000001</v>
      </c>
      <c r="D114" s="15" t="str">
        <f t="shared" si="21"/>
        <v>vis</v>
      </c>
      <c r="E114" s="26">
        <f>VLOOKUP(C114,Active!C$21:E$969,3,FALSE)</f>
        <v>-6921.1595812351361</v>
      </c>
      <c r="F114" s="2" t="s">
        <v>126</v>
      </c>
      <c r="G114" s="15" t="str">
        <f t="shared" si="22"/>
        <v>31441.576</v>
      </c>
      <c r="H114" s="18">
        <f t="shared" si="23"/>
        <v>-6921</v>
      </c>
      <c r="I114" s="27" t="s">
        <v>166</v>
      </c>
      <c r="J114" s="28" t="s">
        <v>167</v>
      </c>
      <c r="K114" s="27">
        <v>-6921</v>
      </c>
      <c r="L114" s="27" t="s">
        <v>168</v>
      </c>
      <c r="M114" s="28" t="s">
        <v>131</v>
      </c>
      <c r="N114" s="28"/>
      <c r="O114" s="29" t="s">
        <v>132</v>
      </c>
      <c r="P114" s="29" t="s">
        <v>133</v>
      </c>
    </row>
    <row r="115" spans="1:16" ht="12.75" customHeight="1" thickBot="1" x14ac:dyDescent="0.25">
      <c r="A115" s="18" t="str">
        <f t="shared" si="18"/>
        <v> MVS 206 </v>
      </c>
      <c r="B115" s="2" t="str">
        <f t="shared" si="19"/>
        <v>I</v>
      </c>
      <c r="C115" s="18">
        <f t="shared" si="20"/>
        <v>32950.464</v>
      </c>
      <c r="D115" s="15" t="str">
        <f t="shared" si="21"/>
        <v>vis</v>
      </c>
      <c r="E115" s="26">
        <f>VLOOKUP(C115,Active!C$21:E$969,3,FALSE)</f>
        <v>-6175.0981410615668</v>
      </c>
      <c r="F115" s="2" t="s">
        <v>126</v>
      </c>
      <c r="G115" s="15" t="str">
        <f t="shared" si="22"/>
        <v>32950.464</v>
      </c>
      <c r="H115" s="18">
        <f t="shared" si="23"/>
        <v>-6175</v>
      </c>
      <c r="I115" s="27" t="s">
        <v>169</v>
      </c>
      <c r="J115" s="28" t="s">
        <v>170</v>
      </c>
      <c r="K115" s="27">
        <v>-6175</v>
      </c>
      <c r="L115" s="27" t="s">
        <v>171</v>
      </c>
      <c r="M115" s="28" t="s">
        <v>131</v>
      </c>
      <c r="N115" s="28"/>
      <c r="O115" s="29" t="s">
        <v>132</v>
      </c>
      <c r="P115" s="29" t="s">
        <v>133</v>
      </c>
    </row>
    <row r="116" spans="1:16" ht="12.75" customHeight="1" thickBot="1" x14ac:dyDescent="0.25">
      <c r="A116" s="18" t="str">
        <f t="shared" si="18"/>
        <v> MVS 206 </v>
      </c>
      <c r="B116" s="2" t="str">
        <f t="shared" si="19"/>
        <v>I</v>
      </c>
      <c r="C116" s="18">
        <f t="shared" si="20"/>
        <v>33027.355000000003</v>
      </c>
      <c r="D116" s="15" t="str">
        <f t="shared" si="21"/>
        <v>vis</v>
      </c>
      <c r="E116" s="26">
        <f>VLOOKUP(C116,Active!C$21:E$969,3,FALSE)</f>
        <v>-6137.0798055745145</v>
      </c>
      <c r="F116" s="2" t="s">
        <v>126</v>
      </c>
      <c r="G116" s="15" t="str">
        <f t="shared" si="22"/>
        <v>33027.355</v>
      </c>
      <c r="H116" s="18">
        <f t="shared" si="23"/>
        <v>-6137</v>
      </c>
      <c r="I116" s="27" t="s">
        <v>172</v>
      </c>
      <c r="J116" s="28" t="s">
        <v>173</v>
      </c>
      <c r="K116" s="27">
        <v>-6137</v>
      </c>
      <c r="L116" s="27" t="s">
        <v>174</v>
      </c>
      <c r="M116" s="28" t="s">
        <v>131</v>
      </c>
      <c r="N116" s="28"/>
      <c r="O116" s="29" t="s">
        <v>132</v>
      </c>
      <c r="P116" s="29" t="s">
        <v>133</v>
      </c>
    </row>
    <row r="117" spans="1:16" ht="12.75" customHeight="1" thickBot="1" x14ac:dyDescent="0.25">
      <c r="A117" s="18" t="str">
        <f t="shared" si="18"/>
        <v> MVS 206 </v>
      </c>
      <c r="B117" s="2" t="str">
        <f t="shared" si="19"/>
        <v>I</v>
      </c>
      <c r="C117" s="18">
        <f t="shared" si="20"/>
        <v>33302.453000000001</v>
      </c>
      <c r="D117" s="15" t="str">
        <f t="shared" si="21"/>
        <v>vis</v>
      </c>
      <c r="E117" s="26">
        <f>VLOOKUP(C117,Active!C$21:E$969,3,FALSE)</f>
        <v>-6001.0591002147612</v>
      </c>
      <c r="F117" s="2" t="s">
        <v>126</v>
      </c>
      <c r="G117" s="15" t="str">
        <f t="shared" si="22"/>
        <v>33302.453</v>
      </c>
      <c r="H117" s="18">
        <f t="shared" si="23"/>
        <v>-6001</v>
      </c>
      <c r="I117" s="27" t="s">
        <v>175</v>
      </c>
      <c r="J117" s="28" t="s">
        <v>176</v>
      </c>
      <c r="K117" s="27">
        <v>-6001</v>
      </c>
      <c r="L117" s="27" t="s">
        <v>177</v>
      </c>
      <c r="M117" s="28" t="s">
        <v>131</v>
      </c>
      <c r="N117" s="28"/>
      <c r="O117" s="29" t="s">
        <v>132</v>
      </c>
      <c r="P117" s="29" t="s">
        <v>133</v>
      </c>
    </row>
    <row r="118" spans="1:16" ht="12.75" customHeight="1" thickBot="1" x14ac:dyDescent="0.25">
      <c r="A118" s="18" t="str">
        <f t="shared" si="18"/>
        <v> MVS 206 </v>
      </c>
      <c r="B118" s="2" t="str">
        <f t="shared" si="19"/>
        <v>I</v>
      </c>
      <c r="C118" s="18">
        <f t="shared" si="20"/>
        <v>33306.466999999997</v>
      </c>
      <c r="D118" s="15" t="str">
        <f t="shared" si="21"/>
        <v>vis</v>
      </c>
      <c r="E118" s="26">
        <f>VLOOKUP(C118,Active!C$21:E$969,3,FALSE)</f>
        <v>-5999.0743998123098</v>
      </c>
      <c r="F118" s="2" t="s">
        <v>126</v>
      </c>
      <c r="G118" s="15" t="str">
        <f t="shared" si="22"/>
        <v>33306.467</v>
      </c>
      <c r="H118" s="18">
        <f t="shared" si="23"/>
        <v>-5999</v>
      </c>
      <c r="I118" s="27" t="s">
        <v>178</v>
      </c>
      <c r="J118" s="28" t="s">
        <v>179</v>
      </c>
      <c r="K118" s="27">
        <v>-5999</v>
      </c>
      <c r="L118" s="27" t="s">
        <v>180</v>
      </c>
      <c r="M118" s="28" t="s">
        <v>131</v>
      </c>
      <c r="N118" s="28"/>
      <c r="O118" s="29" t="s">
        <v>132</v>
      </c>
      <c r="P118" s="29" t="s">
        <v>133</v>
      </c>
    </row>
    <row r="119" spans="1:16" ht="12.75" customHeight="1" thickBot="1" x14ac:dyDescent="0.25">
      <c r="A119" s="18" t="str">
        <f t="shared" si="18"/>
        <v> MVS 206 </v>
      </c>
      <c r="B119" s="2" t="str">
        <f t="shared" si="19"/>
        <v>I</v>
      </c>
      <c r="C119" s="18">
        <f t="shared" si="20"/>
        <v>33947.622000000003</v>
      </c>
      <c r="D119" s="15" t="str">
        <f t="shared" si="21"/>
        <v>vis</v>
      </c>
      <c r="E119" s="26">
        <f>VLOOKUP(C119,Active!C$21:E$969,3,FALSE)</f>
        <v>-5682.0588077508119</v>
      </c>
      <c r="F119" s="2" t="s">
        <v>126</v>
      </c>
      <c r="G119" s="15" t="str">
        <f t="shared" si="22"/>
        <v>33947.622</v>
      </c>
      <c r="H119" s="18">
        <f t="shared" si="23"/>
        <v>-5682</v>
      </c>
      <c r="I119" s="27" t="s">
        <v>181</v>
      </c>
      <c r="J119" s="28" t="s">
        <v>182</v>
      </c>
      <c r="K119" s="27">
        <v>-5682</v>
      </c>
      <c r="L119" s="27" t="s">
        <v>183</v>
      </c>
      <c r="M119" s="28" t="s">
        <v>131</v>
      </c>
      <c r="N119" s="28"/>
      <c r="O119" s="29" t="s">
        <v>132</v>
      </c>
      <c r="P119" s="29" t="s">
        <v>133</v>
      </c>
    </row>
    <row r="120" spans="1:16" ht="12.75" customHeight="1" thickBot="1" x14ac:dyDescent="0.25">
      <c r="A120" s="18" t="str">
        <f t="shared" si="18"/>
        <v> MVS 206 </v>
      </c>
      <c r="B120" s="2" t="str">
        <f t="shared" si="19"/>
        <v>I</v>
      </c>
      <c r="C120" s="18">
        <f t="shared" si="20"/>
        <v>34663.548999999999</v>
      </c>
      <c r="D120" s="15" t="str">
        <f t="shared" si="21"/>
        <v>vis</v>
      </c>
      <c r="E120" s="26">
        <f>VLOOKUP(C120,Active!C$21:E$969,3,FALSE)</f>
        <v>-5328.0726081925013</v>
      </c>
      <c r="F120" s="2" t="s">
        <v>126</v>
      </c>
      <c r="G120" s="15" t="str">
        <f t="shared" si="22"/>
        <v>34663.549</v>
      </c>
      <c r="H120" s="18">
        <f t="shared" si="23"/>
        <v>-5328</v>
      </c>
      <c r="I120" s="27" t="s">
        <v>184</v>
      </c>
      <c r="J120" s="28" t="s">
        <v>185</v>
      </c>
      <c r="K120" s="27">
        <v>-5328</v>
      </c>
      <c r="L120" s="27" t="s">
        <v>186</v>
      </c>
      <c r="M120" s="28" t="s">
        <v>131</v>
      </c>
      <c r="N120" s="28"/>
      <c r="O120" s="29" t="s">
        <v>132</v>
      </c>
      <c r="P120" s="29" t="s">
        <v>133</v>
      </c>
    </row>
    <row r="121" spans="1:16" ht="12.75" customHeight="1" thickBot="1" x14ac:dyDescent="0.25">
      <c r="A121" s="18" t="str">
        <f t="shared" si="18"/>
        <v> BBS 64 </v>
      </c>
      <c r="B121" s="2" t="str">
        <f t="shared" si="19"/>
        <v>I</v>
      </c>
      <c r="C121" s="18">
        <f t="shared" si="20"/>
        <v>45338.277999999998</v>
      </c>
      <c r="D121" s="15" t="str">
        <f t="shared" si="21"/>
        <v>vis</v>
      </c>
      <c r="E121" s="26">
        <f>VLOOKUP(C121,Active!C$21:E$969,3,FALSE)</f>
        <v>-50.011087918915365</v>
      </c>
      <c r="F121" s="2" t="s">
        <v>126</v>
      </c>
      <c r="G121" s="15" t="str">
        <f t="shared" si="22"/>
        <v>45338.278</v>
      </c>
      <c r="H121" s="18">
        <f t="shared" si="23"/>
        <v>-50</v>
      </c>
      <c r="I121" s="27" t="s">
        <v>326</v>
      </c>
      <c r="J121" s="28" t="s">
        <v>327</v>
      </c>
      <c r="K121" s="27">
        <v>-50</v>
      </c>
      <c r="L121" s="27" t="s">
        <v>202</v>
      </c>
      <c r="M121" s="28" t="s">
        <v>190</v>
      </c>
      <c r="N121" s="28"/>
      <c r="O121" s="29" t="s">
        <v>191</v>
      </c>
      <c r="P121" s="29" t="s">
        <v>328</v>
      </c>
    </row>
    <row r="122" spans="1:16" ht="12.75" customHeight="1" thickBot="1" x14ac:dyDescent="0.25">
      <c r="A122" s="18" t="str">
        <f t="shared" si="18"/>
        <v> BRNO 30 </v>
      </c>
      <c r="B122" s="2" t="str">
        <f t="shared" si="19"/>
        <v>I</v>
      </c>
      <c r="C122" s="18">
        <f t="shared" si="20"/>
        <v>47593.358999999997</v>
      </c>
      <c r="D122" s="15" t="str">
        <f t="shared" si="21"/>
        <v>vis</v>
      </c>
      <c r="E122" s="26">
        <f>VLOOKUP(C122,Active!C$21:E$969,3,FALSE)</f>
        <v>1065.0014104030627</v>
      </c>
      <c r="F122" s="2" t="s">
        <v>126</v>
      </c>
      <c r="G122" s="15" t="str">
        <f t="shared" si="22"/>
        <v>47593.359</v>
      </c>
      <c r="H122" s="18">
        <f t="shared" si="23"/>
        <v>1065</v>
      </c>
      <c r="I122" s="27" t="s">
        <v>393</v>
      </c>
      <c r="J122" s="28" t="s">
        <v>394</v>
      </c>
      <c r="K122" s="27">
        <v>1065</v>
      </c>
      <c r="L122" s="27" t="s">
        <v>243</v>
      </c>
      <c r="M122" s="28" t="s">
        <v>190</v>
      </c>
      <c r="N122" s="28"/>
      <c r="O122" s="29" t="s">
        <v>395</v>
      </c>
      <c r="P122" s="29" t="s">
        <v>396</v>
      </c>
    </row>
    <row r="123" spans="1:16" ht="12.75" customHeight="1" thickBot="1" x14ac:dyDescent="0.25">
      <c r="A123" s="18" t="str">
        <f t="shared" si="18"/>
        <v> BRNO 32 </v>
      </c>
      <c r="B123" s="2" t="str">
        <f t="shared" si="19"/>
        <v>I</v>
      </c>
      <c r="C123" s="18">
        <f t="shared" si="20"/>
        <v>49749.325199999999</v>
      </c>
      <c r="D123" s="15" t="str">
        <f t="shared" si="21"/>
        <v>vis</v>
      </c>
      <c r="E123" s="26">
        <f>VLOOKUP(C123,Active!C$21:E$969,3,FALSE)</f>
        <v>2131.0071365653362</v>
      </c>
      <c r="F123" s="2" t="s">
        <v>126</v>
      </c>
      <c r="G123" s="15" t="str">
        <f t="shared" si="22"/>
        <v>49749.3252</v>
      </c>
      <c r="H123" s="18">
        <f t="shared" si="23"/>
        <v>2131</v>
      </c>
      <c r="I123" s="27" t="s">
        <v>439</v>
      </c>
      <c r="J123" s="28" t="s">
        <v>440</v>
      </c>
      <c r="K123" s="27">
        <v>2131</v>
      </c>
      <c r="L123" s="27" t="s">
        <v>441</v>
      </c>
      <c r="M123" s="28" t="s">
        <v>190</v>
      </c>
      <c r="N123" s="28"/>
      <c r="O123" s="29" t="s">
        <v>442</v>
      </c>
      <c r="P123" s="29" t="s">
        <v>443</v>
      </c>
    </row>
    <row r="124" spans="1:16" ht="12.75" customHeight="1" thickBot="1" x14ac:dyDescent="0.25">
      <c r="A124" s="18" t="str">
        <f t="shared" si="18"/>
        <v> BRNO 32 </v>
      </c>
      <c r="B124" s="2" t="str">
        <f t="shared" si="19"/>
        <v>I</v>
      </c>
      <c r="C124" s="18">
        <f t="shared" si="20"/>
        <v>51658.513599999998</v>
      </c>
      <c r="D124" s="15" t="str">
        <f t="shared" si="21"/>
        <v>vis</v>
      </c>
      <c r="E124" s="26">
        <f>VLOOKUP(C124,Active!C$21:E$969,3,FALSE)</f>
        <v>3074.9949257628596</v>
      </c>
      <c r="F124" s="2" t="s">
        <v>126</v>
      </c>
      <c r="G124" s="15" t="str">
        <f t="shared" si="22"/>
        <v>51658.5136</v>
      </c>
      <c r="H124" s="18">
        <f t="shared" si="23"/>
        <v>3075</v>
      </c>
      <c r="I124" s="27" t="s">
        <v>460</v>
      </c>
      <c r="J124" s="28" t="s">
        <v>461</v>
      </c>
      <c r="K124" s="27">
        <v>3075</v>
      </c>
      <c r="L124" s="27" t="s">
        <v>462</v>
      </c>
      <c r="M124" s="28" t="s">
        <v>190</v>
      </c>
      <c r="N124" s="28"/>
      <c r="O124" s="29" t="s">
        <v>463</v>
      </c>
      <c r="P124" s="29" t="s">
        <v>443</v>
      </c>
    </row>
    <row r="125" spans="1:16" ht="12.75" customHeight="1" thickBot="1" x14ac:dyDescent="0.25">
      <c r="A125" s="18" t="str">
        <f t="shared" si="18"/>
        <v>OEJV 0074 </v>
      </c>
      <c r="B125" s="2" t="str">
        <f t="shared" si="19"/>
        <v>I</v>
      </c>
      <c r="C125" s="18">
        <f t="shared" si="20"/>
        <v>52997.311999999998</v>
      </c>
      <c r="D125" s="15" t="str">
        <f t="shared" si="21"/>
        <v>vis</v>
      </c>
      <c r="E125" s="26" t="e">
        <f>VLOOKUP(C125,Active!C$21:E$969,3,FALSE)</f>
        <v>#N/A</v>
      </c>
      <c r="F125" s="2" t="s">
        <v>126</v>
      </c>
      <c r="G125" s="15" t="str">
        <f t="shared" si="22"/>
        <v>52997.312</v>
      </c>
      <c r="H125" s="18">
        <f t="shared" si="23"/>
        <v>3737</v>
      </c>
      <c r="I125" s="27" t="s">
        <v>478</v>
      </c>
      <c r="J125" s="28" t="s">
        <v>479</v>
      </c>
      <c r="K125" s="27" t="s">
        <v>480</v>
      </c>
      <c r="L125" s="27" t="s">
        <v>481</v>
      </c>
      <c r="M125" s="28" t="s">
        <v>190</v>
      </c>
      <c r="N125" s="28"/>
      <c r="O125" s="29" t="s">
        <v>482</v>
      </c>
      <c r="P125" s="30" t="s">
        <v>483</v>
      </c>
    </row>
    <row r="126" spans="1:16" ht="12.75" customHeight="1" thickBot="1" x14ac:dyDescent="0.25">
      <c r="A126" s="18" t="str">
        <f t="shared" si="18"/>
        <v>VSB 44 </v>
      </c>
      <c r="B126" s="2" t="str">
        <f t="shared" si="19"/>
        <v>I</v>
      </c>
      <c r="C126" s="18">
        <f t="shared" si="20"/>
        <v>53428.182000000001</v>
      </c>
      <c r="D126" s="15" t="str">
        <f t="shared" si="21"/>
        <v>vis</v>
      </c>
      <c r="E126" s="26">
        <f>VLOOKUP(C126,Active!C$21:E$969,3,FALSE)</f>
        <v>3949.9978120828905</v>
      </c>
      <c r="F126" s="2" t="s">
        <v>126</v>
      </c>
      <c r="G126" s="15" t="str">
        <f t="shared" si="22"/>
        <v>53428.1820</v>
      </c>
      <c r="H126" s="18">
        <f t="shared" si="23"/>
        <v>3950</v>
      </c>
      <c r="I126" s="27" t="s">
        <v>495</v>
      </c>
      <c r="J126" s="28" t="s">
        <v>496</v>
      </c>
      <c r="K126" s="27" t="s">
        <v>497</v>
      </c>
      <c r="L126" s="27" t="s">
        <v>498</v>
      </c>
      <c r="M126" s="28" t="s">
        <v>417</v>
      </c>
      <c r="N126" s="28" t="s">
        <v>457</v>
      </c>
      <c r="O126" s="29" t="s">
        <v>499</v>
      </c>
      <c r="P126" s="30" t="s">
        <v>500</v>
      </c>
    </row>
    <row r="127" spans="1:16" ht="12.75" customHeight="1" thickBot="1" x14ac:dyDescent="0.25">
      <c r="A127" s="18" t="str">
        <f t="shared" si="18"/>
        <v>VSB 44 </v>
      </c>
      <c r="B127" s="2" t="str">
        <f t="shared" si="19"/>
        <v>I</v>
      </c>
      <c r="C127" s="18">
        <f t="shared" si="20"/>
        <v>53711.3295</v>
      </c>
      <c r="D127" s="15" t="str">
        <f t="shared" si="21"/>
        <v>vis</v>
      </c>
      <c r="E127" s="26">
        <f>VLOOKUP(C127,Active!C$21:E$969,3,FALSE)</f>
        <v>4089.9985488052616</v>
      </c>
      <c r="F127" s="2" t="s">
        <v>126</v>
      </c>
      <c r="G127" s="15" t="str">
        <f t="shared" si="22"/>
        <v>53711.3295</v>
      </c>
      <c r="H127" s="18">
        <f t="shared" si="23"/>
        <v>4090</v>
      </c>
      <c r="I127" s="27" t="s">
        <v>501</v>
      </c>
      <c r="J127" s="28" t="s">
        <v>502</v>
      </c>
      <c r="K127" s="27" t="s">
        <v>503</v>
      </c>
      <c r="L127" s="27" t="s">
        <v>504</v>
      </c>
      <c r="M127" s="28" t="s">
        <v>417</v>
      </c>
      <c r="N127" s="28" t="s">
        <v>457</v>
      </c>
      <c r="O127" s="29" t="s">
        <v>499</v>
      </c>
      <c r="P127" s="30" t="s">
        <v>500</v>
      </c>
    </row>
    <row r="128" spans="1:16" ht="12.75" customHeight="1" thickBot="1" x14ac:dyDescent="0.25">
      <c r="A128" s="18" t="str">
        <f t="shared" si="18"/>
        <v>VSB 45 </v>
      </c>
      <c r="B128" s="2" t="str">
        <f t="shared" si="19"/>
        <v>I</v>
      </c>
      <c r="C128" s="18">
        <f t="shared" si="20"/>
        <v>53767.955999999998</v>
      </c>
      <c r="D128" s="15" t="str">
        <f t="shared" si="21"/>
        <v>vis</v>
      </c>
      <c r="E128" s="26">
        <f>VLOOKUP(C128,Active!C$21:E$969,3,FALSE)</f>
        <v>4117.9972128161007</v>
      </c>
      <c r="F128" s="2" t="s">
        <v>126</v>
      </c>
      <c r="G128" s="15" t="str">
        <f t="shared" si="22"/>
        <v>53767.956</v>
      </c>
      <c r="H128" s="18">
        <f t="shared" si="23"/>
        <v>4118</v>
      </c>
      <c r="I128" s="27" t="s">
        <v>505</v>
      </c>
      <c r="J128" s="28" t="s">
        <v>506</v>
      </c>
      <c r="K128" s="27" t="s">
        <v>507</v>
      </c>
      <c r="L128" s="27" t="s">
        <v>508</v>
      </c>
      <c r="M128" s="28" t="s">
        <v>190</v>
      </c>
      <c r="N128" s="28"/>
      <c r="O128" s="29" t="s">
        <v>509</v>
      </c>
      <c r="P128" s="30" t="s">
        <v>510</v>
      </c>
    </row>
    <row r="129" spans="1:16" ht="12.75" customHeight="1" thickBot="1" x14ac:dyDescent="0.25">
      <c r="A129" s="18" t="str">
        <f t="shared" si="18"/>
        <v>VSB 45 </v>
      </c>
      <c r="B129" s="2" t="str">
        <f t="shared" si="19"/>
        <v>I</v>
      </c>
      <c r="C129" s="18">
        <f t="shared" si="20"/>
        <v>53767.959000000003</v>
      </c>
      <c r="D129" s="15" t="str">
        <f t="shared" si="21"/>
        <v>vis</v>
      </c>
      <c r="E129" s="26">
        <f>VLOOKUP(C129,Active!C$21:E$969,3,FALSE)</f>
        <v>4117.998696149737</v>
      </c>
      <c r="F129" s="2" t="s">
        <v>126</v>
      </c>
      <c r="G129" s="15" t="str">
        <f t="shared" si="22"/>
        <v>53767.959</v>
      </c>
      <c r="H129" s="18">
        <f t="shared" si="23"/>
        <v>4118</v>
      </c>
      <c r="I129" s="27" t="s">
        <v>511</v>
      </c>
      <c r="J129" s="28" t="s">
        <v>512</v>
      </c>
      <c r="K129" s="27" t="s">
        <v>507</v>
      </c>
      <c r="L129" s="27" t="s">
        <v>127</v>
      </c>
      <c r="M129" s="28" t="s">
        <v>190</v>
      </c>
      <c r="N129" s="28"/>
      <c r="O129" s="29" t="s">
        <v>509</v>
      </c>
      <c r="P129" s="30" t="s">
        <v>510</v>
      </c>
    </row>
    <row r="130" spans="1:16" ht="12.75" customHeight="1" thickBot="1" x14ac:dyDescent="0.25">
      <c r="A130" s="18" t="str">
        <f t="shared" si="18"/>
        <v>VSB 53 </v>
      </c>
      <c r="B130" s="2" t="str">
        <f t="shared" si="19"/>
        <v>I</v>
      </c>
      <c r="C130" s="18">
        <f t="shared" si="20"/>
        <v>55582.129099999998</v>
      </c>
      <c r="D130" s="15" t="str">
        <f t="shared" si="21"/>
        <v>vis</v>
      </c>
      <c r="E130" s="26">
        <f>VLOOKUP(C130,Active!C$21:E$969,3,FALSE)</f>
        <v>5015.0052052649444</v>
      </c>
      <c r="F130" s="2" t="s">
        <v>126</v>
      </c>
      <c r="G130" s="15" t="str">
        <f t="shared" si="22"/>
        <v>55582.1291</v>
      </c>
      <c r="H130" s="18">
        <f t="shared" si="23"/>
        <v>5015</v>
      </c>
      <c r="I130" s="27" t="s">
        <v>542</v>
      </c>
      <c r="J130" s="28" t="s">
        <v>543</v>
      </c>
      <c r="K130" s="27" t="s">
        <v>544</v>
      </c>
      <c r="L130" s="27" t="s">
        <v>545</v>
      </c>
      <c r="M130" s="28" t="s">
        <v>517</v>
      </c>
      <c r="N130" s="28" t="s">
        <v>546</v>
      </c>
      <c r="O130" s="29" t="s">
        <v>547</v>
      </c>
      <c r="P130" s="30" t="s">
        <v>548</v>
      </c>
    </row>
    <row r="131" spans="1:16" ht="12.75" customHeight="1" thickBot="1" x14ac:dyDescent="0.25">
      <c r="A131" s="18" t="str">
        <f t="shared" si="18"/>
        <v>BAVM 225 </v>
      </c>
      <c r="B131" s="2" t="str">
        <f t="shared" si="19"/>
        <v>I</v>
      </c>
      <c r="C131" s="18">
        <f t="shared" si="20"/>
        <v>55618.534299999999</v>
      </c>
      <c r="D131" s="15" t="str">
        <f t="shared" si="21"/>
        <v>vis</v>
      </c>
      <c r="E131" s="26">
        <f>VLOOKUP(C131,Active!C$21:E$969,3,FALSE)</f>
        <v>5033.0055578039046</v>
      </c>
      <c r="F131" s="2" t="s">
        <v>126</v>
      </c>
      <c r="G131" s="15" t="str">
        <f t="shared" si="22"/>
        <v>55618.5343</v>
      </c>
      <c r="H131" s="18">
        <f t="shared" si="23"/>
        <v>5033</v>
      </c>
      <c r="I131" s="27" t="s">
        <v>549</v>
      </c>
      <c r="J131" s="28" t="s">
        <v>550</v>
      </c>
      <c r="K131" s="27" t="s">
        <v>551</v>
      </c>
      <c r="L131" s="27" t="s">
        <v>552</v>
      </c>
      <c r="M131" s="28" t="s">
        <v>517</v>
      </c>
      <c r="N131" s="28">
        <v>0</v>
      </c>
      <c r="O131" s="29" t="s">
        <v>553</v>
      </c>
      <c r="P131" s="30" t="s">
        <v>554</v>
      </c>
    </row>
    <row r="132" spans="1:16" ht="12.75" customHeight="1" thickBot="1" x14ac:dyDescent="0.25">
      <c r="A132" s="18" t="str">
        <f t="shared" si="18"/>
        <v>VSB 55 </v>
      </c>
      <c r="B132" s="2" t="str">
        <f t="shared" si="19"/>
        <v>I</v>
      </c>
      <c r="C132" s="18">
        <f t="shared" si="20"/>
        <v>55954.270100000002</v>
      </c>
      <c r="D132" s="15" t="str">
        <f t="shared" si="21"/>
        <v>vis</v>
      </c>
      <c r="E132" s="26">
        <f>VLOOKUP(C132,Active!C$21:E$969,3,FALSE)</f>
        <v>5199.0082925766828</v>
      </c>
      <c r="F132" s="2" t="s">
        <v>126</v>
      </c>
      <c r="G132" s="15" t="str">
        <f t="shared" si="22"/>
        <v>55954.2701</v>
      </c>
      <c r="H132" s="18">
        <f t="shared" si="23"/>
        <v>5199</v>
      </c>
      <c r="I132" s="27" t="s">
        <v>559</v>
      </c>
      <c r="J132" s="28" t="s">
        <v>560</v>
      </c>
      <c r="K132" s="27">
        <v>5199</v>
      </c>
      <c r="L132" s="27" t="s">
        <v>561</v>
      </c>
      <c r="M132" s="28" t="s">
        <v>517</v>
      </c>
      <c r="N132" s="28" t="s">
        <v>126</v>
      </c>
      <c r="O132" s="29" t="s">
        <v>562</v>
      </c>
      <c r="P132" s="30" t="s">
        <v>563</v>
      </c>
    </row>
    <row r="133" spans="1:16" x14ac:dyDescent="0.2">
      <c r="B133" s="2"/>
      <c r="E133" s="26"/>
      <c r="F133" s="2"/>
    </row>
    <row r="134" spans="1:16" x14ac:dyDescent="0.2">
      <c r="B134" s="2"/>
      <c r="E134" s="26"/>
      <c r="F134" s="2"/>
    </row>
    <row r="135" spans="1:16" x14ac:dyDescent="0.2">
      <c r="B135" s="2"/>
      <c r="E135" s="26"/>
      <c r="F135" s="2"/>
    </row>
    <row r="136" spans="1:16" x14ac:dyDescent="0.2">
      <c r="B136" s="2"/>
      <c r="E136" s="26"/>
      <c r="F136" s="2"/>
    </row>
    <row r="137" spans="1:16" x14ac:dyDescent="0.2">
      <c r="B137" s="2"/>
      <c r="E137" s="26"/>
      <c r="F137" s="2"/>
    </row>
    <row r="138" spans="1:16" x14ac:dyDescent="0.2">
      <c r="B138" s="2"/>
      <c r="E138" s="26"/>
      <c r="F138" s="2"/>
    </row>
    <row r="139" spans="1:16" x14ac:dyDescent="0.2">
      <c r="B139" s="2"/>
      <c r="E139" s="26"/>
      <c r="F139" s="2"/>
    </row>
    <row r="140" spans="1:16" x14ac:dyDescent="0.2">
      <c r="B140" s="2"/>
      <c r="E140" s="26"/>
      <c r="F140" s="2"/>
    </row>
    <row r="141" spans="1:16" x14ac:dyDescent="0.2">
      <c r="B141" s="2"/>
      <c r="E141" s="26"/>
      <c r="F141" s="2"/>
    </row>
    <row r="142" spans="1:16" x14ac:dyDescent="0.2">
      <c r="B142" s="2"/>
      <c r="E142" s="26"/>
      <c r="F142" s="2"/>
    </row>
    <row r="143" spans="1:16" x14ac:dyDescent="0.2">
      <c r="B143" s="2"/>
      <c r="E143" s="26"/>
      <c r="F143" s="2"/>
    </row>
    <row r="144" spans="1:16" x14ac:dyDescent="0.2">
      <c r="B144" s="2"/>
      <c r="E144" s="26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</sheetData>
  <phoneticPr fontId="8" type="noConversion"/>
  <hyperlinks>
    <hyperlink ref="P78" r:id="rId1" display="http://www.bav-astro.de/sfs/BAVM_link.php?BAVMnr=68"/>
    <hyperlink ref="P79" r:id="rId2" display="http://www.bav-astro.de/sfs/BAVM_link.php?BAVMnr=68"/>
    <hyperlink ref="P81" r:id="rId3" display="http://www.bav-astro.de/sfs/BAVM_link.php?BAVMnr=68"/>
    <hyperlink ref="P82" r:id="rId4" display="http://www.bav-astro.de/sfs/BAVM_link.php?BAVMnr=68"/>
    <hyperlink ref="P88" r:id="rId5" display="http://www.konkoly.hu/cgi-bin/IBVS?4888"/>
    <hyperlink ref="P89" r:id="rId6" display="http://www.bav-astro.de/sfs/BAVM_link.php?BAVMnr=158"/>
    <hyperlink ref="P90" r:id="rId7" display="http://www.bav-astro.de/sfs/BAVM_link.php?BAVMnr=158"/>
    <hyperlink ref="P91" r:id="rId8" display="http://www.bav-astro.de/sfs/BAVM_link.php?BAVMnr=158"/>
    <hyperlink ref="P125" r:id="rId9" display="http://var.astro.cz/oejv/issues/oejv0074.pdf"/>
    <hyperlink ref="P92" r:id="rId10" display="http://www.bav-astro.de/sfs/BAVM_link.php?BAVMnr=172"/>
    <hyperlink ref="P93" r:id="rId11" display="http://www.konkoly.hu/cgi-bin/IBVS?5694"/>
    <hyperlink ref="P126" r:id="rId12" display="http://vsolj.cetus-net.org/no44.pdf"/>
    <hyperlink ref="P127" r:id="rId13" display="http://vsolj.cetus-net.org/no44.pdf"/>
    <hyperlink ref="P128" r:id="rId14" display="http://vsolj.cetus-net.org/no45.pdf"/>
    <hyperlink ref="P129" r:id="rId15" display="http://vsolj.cetus-net.org/no45.pdf"/>
    <hyperlink ref="P94" r:id="rId16" display="http://www.konkoly.hu/cgi-bin/IBVS?5893"/>
    <hyperlink ref="P95" r:id="rId17" display="http://www.bav-astro.de/sfs/BAVM_link.php?BAVMnr=201"/>
    <hyperlink ref="P96" r:id="rId18" display="http://www.konkoly.hu/cgi-bin/IBVS?5943"/>
    <hyperlink ref="P97" r:id="rId19" display="http://www.konkoly.hu/cgi-bin/IBVS?5988"/>
    <hyperlink ref="P98" r:id="rId20" display="http://www.konkoly.hu/cgi-bin/IBVS?5960"/>
    <hyperlink ref="P130" r:id="rId21" display="http://vsolj.cetus-net.org/vsoljno53.pdf"/>
    <hyperlink ref="P131" r:id="rId22" display="http://www.bav-astro.de/sfs/BAVM_link.php?BAVMnr=225"/>
    <hyperlink ref="P99" r:id="rId23" display="http://www.bav-astro.de/sfs/BAVM_link.php?BAVMnr=220"/>
    <hyperlink ref="P132" r:id="rId24" display="http://vsolj.cetus-net.org/vsoljno55.pdf"/>
    <hyperlink ref="P100" r:id="rId25" display="http://www.konkoly.hu/cgi-bin/IBVS?6029"/>
    <hyperlink ref="P101" r:id="rId26" display="http://www.bav-astro.de/sfs/BAVM_link.php?BAVMnr=234"/>
    <hyperlink ref="P102" r:id="rId27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Y253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2024-02-18T07:02:37Z</dcterms:modified>
</cp:coreProperties>
</file>