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EBF4CC3-22AD-450F-BEE6-95067AA2B8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6" r:id="rId2"/>
    <sheet name="A (2)" sheetId="2" r:id="rId3"/>
    <sheet name="A (3)" sheetId="3" r:id="rId4"/>
    <sheet name="A (4)" sheetId="4" r:id="rId5"/>
    <sheet name="A (5)" sheetId="5" r:id="rId6"/>
  </sheets>
  <calcPr calcId="181029"/>
</workbook>
</file>

<file path=xl/calcChain.xml><?xml version="1.0" encoding="utf-8"?>
<calcChain xmlns="http://schemas.openxmlformats.org/spreadsheetml/2006/main">
  <c r="E55" i="1" l="1"/>
  <c r="F55" i="1"/>
  <c r="G55" i="1" s="1"/>
  <c r="M55" i="1" s="1"/>
  <c r="Q55" i="1"/>
  <c r="Q54" i="1"/>
  <c r="D9" i="1"/>
  <c r="C9" i="1"/>
  <c r="Q22" i="1"/>
  <c r="Q23" i="1"/>
  <c r="Q24" i="1"/>
  <c r="Q25" i="1"/>
  <c r="Q26" i="1"/>
  <c r="Q27" i="1"/>
  <c r="Q28" i="1"/>
  <c r="Q29" i="1"/>
  <c r="Q30" i="1"/>
  <c r="Q31" i="1"/>
  <c r="Q39" i="1"/>
  <c r="Q42" i="1"/>
  <c r="Q43" i="1"/>
  <c r="Q47" i="1"/>
  <c r="Q50" i="1"/>
  <c r="G27" i="6"/>
  <c r="C27" i="6"/>
  <c r="G26" i="6"/>
  <c r="C26" i="6"/>
  <c r="G25" i="6"/>
  <c r="C25" i="6"/>
  <c r="G42" i="6"/>
  <c r="C42" i="6"/>
  <c r="G24" i="6"/>
  <c r="C24" i="6"/>
  <c r="G23" i="6"/>
  <c r="C23" i="6"/>
  <c r="G41" i="6"/>
  <c r="C41" i="6"/>
  <c r="G22" i="6"/>
  <c r="C22" i="6"/>
  <c r="G21" i="6"/>
  <c r="C21" i="6"/>
  <c r="E21" i="6"/>
  <c r="G20" i="6"/>
  <c r="C20" i="6"/>
  <c r="E20" i="6"/>
  <c r="G40" i="6"/>
  <c r="C40" i="6"/>
  <c r="E40" i="6"/>
  <c r="G39" i="6"/>
  <c r="C39" i="6"/>
  <c r="G19" i="6"/>
  <c r="C19" i="6"/>
  <c r="G18" i="6"/>
  <c r="C18" i="6"/>
  <c r="G38" i="6"/>
  <c r="C38" i="6"/>
  <c r="G17" i="6"/>
  <c r="C17" i="6"/>
  <c r="G16" i="6"/>
  <c r="C16" i="6"/>
  <c r="G15" i="6"/>
  <c r="C15" i="6"/>
  <c r="E15" i="6"/>
  <c r="G14" i="6"/>
  <c r="C14" i="6"/>
  <c r="G13" i="6"/>
  <c r="C13" i="6"/>
  <c r="G12" i="6"/>
  <c r="C12" i="6"/>
  <c r="G11" i="6"/>
  <c r="C11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H27" i="6"/>
  <c r="B27" i="6"/>
  <c r="D27" i="6"/>
  <c r="A27" i="6"/>
  <c r="H26" i="6"/>
  <c r="B26" i="6"/>
  <c r="D26" i="6"/>
  <c r="A26" i="6"/>
  <c r="H25" i="6"/>
  <c r="B25" i="6"/>
  <c r="D25" i="6"/>
  <c r="A25" i="6"/>
  <c r="H42" i="6"/>
  <c r="B42" i="6"/>
  <c r="D42" i="6"/>
  <c r="A42" i="6"/>
  <c r="H24" i="6"/>
  <c r="B24" i="6"/>
  <c r="D24" i="6"/>
  <c r="A24" i="6"/>
  <c r="H23" i="6"/>
  <c r="B23" i="6"/>
  <c r="D23" i="6"/>
  <c r="A23" i="6"/>
  <c r="H41" i="6"/>
  <c r="B41" i="6"/>
  <c r="D41" i="6"/>
  <c r="A41" i="6"/>
  <c r="H22" i="6"/>
  <c r="B22" i="6"/>
  <c r="D22" i="6"/>
  <c r="A22" i="6"/>
  <c r="H21" i="6"/>
  <c r="B21" i="6"/>
  <c r="D21" i="6"/>
  <c r="A21" i="6"/>
  <c r="H20" i="6"/>
  <c r="B20" i="6"/>
  <c r="D20" i="6"/>
  <c r="A20" i="6"/>
  <c r="H40" i="6"/>
  <c r="B40" i="6"/>
  <c r="D40" i="6"/>
  <c r="A40" i="6"/>
  <c r="H39" i="6"/>
  <c r="B39" i="6"/>
  <c r="D39" i="6"/>
  <c r="A39" i="6"/>
  <c r="H19" i="6"/>
  <c r="B19" i="6"/>
  <c r="D19" i="6"/>
  <c r="A19" i="6"/>
  <c r="H18" i="6"/>
  <c r="B18" i="6"/>
  <c r="D18" i="6"/>
  <c r="A18" i="6"/>
  <c r="H38" i="6"/>
  <c r="B38" i="6"/>
  <c r="D38" i="6"/>
  <c r="A38" i="6"/>
  <c r="H17" i="6"/>
  <c r="B17" i="6"/>
  <c r="D17" i="6"/>
  <c r="A17" i="6"/>
  <c r="H16" i="6"/>
  <c r="B16" i="6"/>
  <c r="D16" i="6"/>
  <c r="A16" i="6"/>
  <c r="H15" i="6"/>
  <c r="B15" i="6"/>
  <c r="D15" i="6"/>
  <c r="A15" i="6"/>
  <c r="H14" i="6"/>
  <c r="B14" i="6"/>
  <c r="D14" i="6"/>
  <c r="A14" i="6"/>
  <c r="H13" i="6"/>
  <c r="B13" i="6"/>
  <c r="D13" i="6"/>
  <c r="A13" i="6"/>
  <c r="H12" i="6"/>
  <c r="B12" i="6"/>
  <c r="D12" i="6"/>
  <c r="A12" i="6"/>
  <c r="H11" i="6"/>
  <c r="B11" i="6"/>
  <c r="D11" i="6"/>
  <c r="A11" i="6"/>
  <c r="H37" i="6"/>
  <c r="B37" i="6"/>
  <c r="D37" i="6"/>
  <c r="A37" i="6"/>
  <c r="H36" i="6"/>
  <c r="B36" i="6"/>
  <c r="D36" i="6"/>
  <c r="A36" i="6"/>
  <c r="H35" i="6"/>
  <c r="B35" i="6"/>
  <c r="D35" i="6"/>
  <c r="A35" i="6"/>
  <c r="H34" i="6"/>
  <c r="B34" i="6"/>
  <c r="D34" i="6"/>
  <c r="A34" i="6"/>
  <c r="H33" i="6"/>
  <c r="B33" i="6"/>
  <c r="D33" i="6"/>
  <c r="A33" i="6"/>
  <c r="H32" i="6"/>
  <c r="B32" i="6"/>
  <c r="D32" i="6"/>
  <c r="A32" i="6"/>
  <c r="H31" i="6"/>
  <c r="B31" i="6"/>
  <c r="D31" i="6"/>
  <c r="A31" i="6"/>
  <c r="H30" i="6"/>
  <c r="B30" i="6"/>
  <c r="D30" i="6"/>
  <c r="A30" i="6"/>
  <c r="H29" i="6"/>
  <c r="B29" i="6"/>
  <c r="D29" i="6"/>
  <c r="A29" i="6"/>
  <c r="H28" i="6"/>
  <c r="B28" i="6"/>
  <c r="D28" i="6"/>
  <c r="A28" i="6"/>
  <c r="Q51" i="1"/>
  <c r="Q52" i="1"/>
  <c r="Q53" i="1"/>
  <c r="Q48" i="1"/>
  <c r="Q49" i="1"/>
  <c r="Q45" i="1"/>
  <c r="Q46" i="1"/>
  <c r="F16" i="1"/>
  <c r="F17" i="1" s="1"/>
  <c r="C17" i="1"/>
  <c r="Q44" i="1"/>
  <c r="Q41" i="1"/>
  <c r="P4" i="5"/>
  <c r="AE6" i="5"/>
  <c r="P6" i="5"/>
  <c r="V6" i="5"/>
  <c r="W6" i="5"/>
  <c r="AL6" i="5"/>
  <c r="AM6" i="5"/>
  <c r="AU6" i="5"/>
  <c r="BB6" i="5"/>
  <c r="BC6" i="5"/>
  <c r="BK6" i="5"/>
  <c r="BR6" i="5"/>
  <c r="CA6" i="5"/>
  <c r="CH6" i="5"/>
  <c r="CI6" i="5"/>
  <c r="C7" i="5"/>
  <c r="E24" i="5"/>
  <c r="F24" i="5"/>
  <c r="G24" i="5"/>
  <c r="N24" i="5"/>
  <c r="E23" i="5"/>
  <c r="F23" i="5"/>
  <c r="E25" i="5"/>
  <c r="F25" i="5"/>
  <c r="E28" i="5"/>
  <c r="F28" i="5"/>
  <c r="E29" i="5"/>
  <c r="F29" i="5"/>
  <c r="Q21" i="5"/>
  <c r="Q22" i="5"/>
  <c r="Q23" i="5"/>
  <c r="Q24" i="5"/>
  <c r="Q25" i="5"/>
  <c r="Q26" i="5"/>
  <c r="Q27" i="5"/>
  <c r="Q28" i="5"/>
  <c r="Q29" i="5"/>
  <c r="P4" i="4"/>
  <c r="X6" i="4"/>
  <c r="P6" i="4"/>
  <c r="T6" i="4"/>
  <c r="V6" i="4"/>
  <c r="W6" i="4"/>
  <c r="Y6" i="4"/>
  <c r="AB6" i="4"/>
  <c r="AD6" i="4"/>
  <c r="AF6" i="4"/>
  <c r="AG6" i="4"/>
  <c r="AJ6" i="4"/>
  <c r="AM6" i="4"/>
  <c r="AN6" i="4"/>
  <c r="AO6" i="4"/>
  <c r="AT6" i="4"/>
  <c r="AU6" i="4"/>
  <c r="AV6" i="4"/>
  <c r="AZ6" i="4"/>
  <c r="BB6" i="4"/>
  <c r="BC6" i="4"/>
  <c r="BE6" i="4"/>
  <c r="BH6" i="4"/>
  <c r="BJ6" i="4"/>
  <c r="BL6" i="4"/>
  <c r="BM6" i="4"/>
  <c r="BP6" i="4"/>
  <c r="BS6" i="4"/>
  <c r="BT6" i="4"/>
  <c r="BU6" i="4"/>
  <c r="BZ6" i="4"/>
  <c r="CA6" i="4"/>
  <c r="CB6" i="4"/>
  <c r="CF6" i="4"/>
  <c r="CH6" i="4"/>
  <c r="CI6" i="4"/>
  <c r="CK6" i="4"/>
  <c r="C7" i="4"/>
  <c r="E21" i="4"/>
  <c r="F21" i="4"/>
  <c r="C11" i="4"/>
  <c r="E23" i="4"/>
  <c r="F23" i="4"/>
  <c r="G23" i="4"/>
  <c r="N23" i="4"/>
  <c r="E24" i="4"/>
  <c r="F24" i="4"/>
  <c r="G24" i="4"/>
  <c r="N24" i="4"/>
  <c r="E25" i="4"/>
  <c r="F25" i="4"/>
  <c r="E26" i="4"/>
  <c r="F26" i="4"/>
  <c r="G26" i="4"/>
  <c r="K26" i="4"/>
  <c r="E27" i="4"/>
  <c r="F27" i="4"/>
  <c r="G27" i="4"/>
  <c r="J27" i="4"/>
  <c r="E28" i="4"/>
  <c r="F28" i="4"/>
  <c r="G28" i="4"/>
  <c r="K28" i="4"/>
  <c r="E29" i="4"/>
  <c r="F29" i="4"/>
  <c r="G29" i="4"/>
  <c r="K29" i="4"/>
  <c r="Q21" i="4"/>
  <c r="Q22" i="4"/>
  <c r="Q23" i="4"/>
  <c r="Q24" i="4"/>
  <c r="Q25" i="4"/>
  <c r="Q26" i="4"/>
  <c r="Q27" i="4"/>
  <c r="Q28" i="4"/>
  <c r="Q29" i="4"/>
  <c r="P4" i="3"/>
  <c r="Q6" i="3"/>
  <c r="V6" i="3"/>
  <c r="AE6" i="3"/>
  <c r="AH6" i="3"/>
  <c r="AO6" i="3"/>
  <c r="AX6" i="3"/>
  <c r="AZ6" i="3"/>
  <c r="BG6" i="3"/>
  <c r="BO6" i="3"/>
  <c r="BQ6" i="3"/>
  <c r="BW6" i="3"/>
  <c r="CE6" i="3"/>
  <c r="CG6" i="3"/>
  <c r="C7" i="3"/>
  <c r="Q21" i="3"/>
  <c r="Q22" i="3"/>
  <c r="Q23" i="3"/>
  <c r="Q24" i="3"/>
  <c r="Q25" i="3"/>
  <c r="Q26" i="3"/>
  <c r="Q27" i="3"/>
  <c r="Q28" i="3"/>
  <c r="Q29" i="3"/>
  <c r="P4" i="2"/>
  <c r="AE6" i="2"/>
  <c r="P6" i="2"/>
  <c r="X6" i="2"/>
  <c r="AN6" i="2"/>
  <c r="AV6" i="2"/>
  <c r="BD6" i="2"/>
  <c r="BK6" i="2"/>
  <c r="BT6" i="2"/>
  <c r="CB6" i="2"/>
  <c r="CJ6" i="2"/>
  <c r="C7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Q21" i="2"/>
  <c r="Q22" i="2"/>
  <c r="Q23" i="2"/>
  <c r="Q24" i="2"/>
  <c r="Q25" i="2"/>
  <c r="Q26" i="2"/>
  <c r="Q27" i="2"/>
  <c r="Q28" i="2"/>
  <c r="Q29" i="2"/>
  <c r="AT6" i="1"/>
  <c r="BF6" i="1"/>
  <c r="CG6" i="1"/>
  <c r="P4" i="1"/>
  <c r="Z6" i="1"/>
  <c r="C7" i="1"/>
  <c r="E54" i="1"/>
  <c r="F54" i="1"/>
  <c r="Q36" i="1"/>
  <c r="Q32" i="1"/>
  <c r="Q35" i="1"/>
  <c r="Q37" i="1"/>
  <c r="Q38" i="1"/>
  <c r="Q40" i="1"/>
  <c r="Q33" i="1"/>
  <c r="Q34" i="1"/>
  <c r="Q21" i="1"/>
  <c r="CF6" i="1"/>
  <c r="AZ6" i="1"/>
  <c r="T6" i="1"/>
  <c r="CH6" i="2"/>
  <c r="BZ6" i="2"/>
  <c r="BR6" i="2"/>
  <c r="BJ6" i="2"/>
  <c r="AT6" i="2"/>
  <c r="AD6" i="2"/>
  <c r="V6" i="2"/>
  <c r="AF6" i="3"/>
  <c r="AN6" i="3"/>
  <c r="CF6" i="5"/>
  <c r="BP6" i="5"/>
  <c r="AZ6" i="5"/>
  <c r="AJ6" i="5"/>
  <c r="T6" i="5"/>
  <c r="E22" i="1"/>
  <c r="E27" i="1"/>
  <c r="F27" i="1"/>
  <c r="E47" i="1"/>
  <c r="F47" i="1"/>
  <c r="G47" i="1"/>
  <c r="M47" i="1"/>
  <c r="E38" i="1"/>
  <c r="E51" i="1"/>
  <c r="E30" i="1"/>
  <c r="E36" i="6"/>
  <c r="E44" i="1"/>
  <c r="F44" i="1"/>
  <c r="G44" i="1"/>
  <c r="E25" i="1"/>
  <c r="F25" i="1"/>
  <c r="G25" i="1"/>
  <c r="M25" i="1"/>
  <c r="G27" i="1"/>
  <c r="M27" i="1"/>
  <c r="E42" i="1"/>
  <c r="F42" i="1"/>
  <c r="E36" i="1"/>
  <c r="F36" i="1"/>
  <c r="G36" i="1"/>
  <c r="K36" i="1"/>
  <c r="E48" i="1"/>
  <c r="F48" i="1"/>
  <c r="G48" i="1"/>
  <c r="K48" i="1"/>
  <c r="E28" i="1"/>
  <c r="F28" i="1"/>
  <c r="G28" i="1"/>
  <c r="M28" i="1"/>
  <c r="E50" i="1"/>
  <c r="F50" i="1"/>
  <c r="E40" i="1"/>
  <c r="F40" i="1"/>
  <c r="K44" i="1"/>
  <c r="E23" i="1"/>
  <c r="F23" i="1"/>
  <c r="G23" i="1"/>
  <c r="M23" i="1"/>
  <c r="E31" i="1"/>
  <c r="F31" i="1"/>
  <c r="G31" i="1"/>
  <c r="M31" i="1"/>
  <c r="G42" i="1"/>
  <c r="M42" i="1"/>
  <c r="E34" i="1"/>
  <c r="F34" i="1"/>
  <c r="G34" i="1"/>
  <c r="E45" i="1"/>
  <c r="F45" i="1"/>
  <c r="E26" i="1"/>
  <c r="F26" i="1"/>
  <c r="G26" i="1"/>
  <c r="M26" i="1"/>
  <c r="E43" i="1"/>
  <c r="E37" i="1"/>
  <c r="F37" i="1"/>
  <c r="G37" i="1"/>
  <c r="G40" i="1"/>
  <c r="K40" i="1"/>
  <c r="E49" i="1"/>
  <c r="F49" i="1"/>
  <c r="G49" i="1"/>
  <c r="L49" i="1"/>
  <c r="AM6" i="2"/>
  <c r="BO6" i="1"/>
  <c r="AI6" i="1"/>
  <c r="AA6" i="1"/>
  <c r="CG6" i="2"/>
  <c r="BY6" i="2"/>
  <c r="BQ6" i="2"/>
  <c r="BI6" i="2"/>
  <c r="AS6" i="2"/>
  <c r="AK6" i="2"/>
  <c r="AC6" i="2"/>
  <c r="U6" i="2"/>
  <c r="E21" i="3"/>
  <c r="F21" i="3"/>
  <c r="BX6" i="3"/>
  <c r="BH6" i="3"/>
  <c r="AP6" i="3"/>
  <c r="AG6" i="3"/>
  <c r="W6" i="3"/>
  <c r="CB6" i="5"/>
  <c r="BL6" i="5"/>
  <c r="AV6" i="5"/>
  <c r="AF6" i="5"/>
  <c r="E24" i="6"/>
  <c r="E29" i="1"/>
  <c r="F29" i="1"/>
  <c r="G29" i="1"/>
  <c r="M29" i="1"/>
  <c r="CF6" i="2"/>
  <c r="BX6" i="2"/>
  <c r="BP6" i="2"/>
  <c r="BH6" i="2"/>
  <c r="AZ6" i="2"/>
  <c r="AR6" i="2"/>
  <c r="AJ6" i="2"/>
  <c r="AB6" i="2"/>
  <c r="T6" i="2"/>
  <c r="Q6" i="5"/>
  <c r="Y6" i="5"/>
  <c r="AG6" i="5"/>
  <c r="AO6" i="5"/>
  <c r="AW6" i="5"/>
  <c r="BE6" i="5"/>
  <c r="BM6" i="5"/>
  <c r="BU6" i="5"/>
  <c r="CC6" i="5"/>
  <c r="CK6" i="5"/>
  <c r="R6" i="5"/>
  <c r="Z6" i="5"/>
  <c r="AH6" i="5"/>
  <c r="AP6" i="5"/>
  <c r="AX6" i="5"/>
  <c r="BF6" i="5"/>
  <c r="BN6" i="5"/>
  <c r="BV6" i="5"/>
  <c r="CD6" i="5"/>
  <c r="CL6" i="5"/>
  <c r="S6" i="5"/>
  <c r="AA6" i="5"/>
  <c r="AI6" i="5"/>
  <c r="AQ6" i="5"/>
  <c r="AY6" i="5"/>
  <c r="BG6" i="5"/>
  <c r="BO6" i="5"/>
  <c r="BW6" i="5"/>
  <c r="CE6" i="5"/>
  <c r="U6" i="5"/>
  <c r="AC6" i="5"/>
  <c r="AK6" i="5"/>
  <c r="AS6" i="5"/>
  <c r="BA6" i="5"/>
  <c r="BI6" i="5"/>
  <c r="BQ6" i="5"/>
  <c r="BY6" i="5"/>
  <c r="CG6" i="5"/>
  <c r="E42" i="6"/>
  <c r="E46" i="1"/>
  <c r="CK6" i="1"/>
  <c r="BM6" i="1"/>
  <c r="Y6" i="1"/>
  <c r="CE6" i="2"/>
  <c r="BW6" i="2"/>
  <c r="BO6" i="2"/>
  <c r="BG6" i="2"/>
  <c r="AY6" i="2"/>
  <c r="AQ6" i="2"/>
  <c r="AI6" i="2"/>
  <c r="AA6" i="2"/>
  <c r="S6" i="2"/>
  <c r="E27" i="3"/>
  <c r="F27" i="3"/>
  <c r="CL6" i="3"/>
  <c r="BV6" i="3"/>
  <c r="BN6" i="3"/>
  <c r="BF6" i="3"/>
  <c r="AW6" i="3"/>
  <c r="AM6" i="3"/>
  <c r="AD6" i="3"/>
  <c r="U6" i="3"/>
  <c r="R6" i="4"/>
  <c r="Z6" i="4"/>
  <c r="AH6" i="4"/>
  <c r="AP6" i="4"/>
  <c r="AX6" i="4"/>
  <c r="BF6" i="4"/>
  <c r="BN6" i="4"/>
  <c r="BV6" i="4"/>
  <c r="CD6" i="4"/>
  <c r="CL6" i="4"/>
  <c r="S6" i="4"/>
  <c r="AA6" i="4"/>
  <c r="AI6" i="4"/>
  <c r="AQ6" i="4"/>
  <c r="AY6" i="4"/>
  <c r="BG6" i="4"/>
  <c r="BO6" i="4"/>
  <c r="BW6" i="4"/>
  <c r="CE6" i="4"/>
  <c r="U6" i="4"/>
  <c r="AC6" i="4"/>
  <c r="AK6" i="4"/>
  <c r="AS6" i="4"/>
  <c r="BA6" i="4"/>
  <c r="BI6" i="4"/>
  <c r="BQ6" i="4"/>
  <c r="BY6" i="4"/>
  <c r="CG6" i="4"/>
  <c r="BZ6" i="5"/>
  <c r="BJ6" i="5"/>
  <c r="AT6" i="5"/>
  <c r="AD6" i="5"/>
  <c r="G45" i="1"/>
  <c r="K45" i="1"/>
  <c r="E32" i="1"/>
  <c r="F32" i="1"/>
  <c r="G32" i="1"/>
  <c r="R32" i="1"/>
  <c r="S32" i="1"/>
  <c r="AV6" i="1"/>
  <c r="AN6" i="1"/>
  <c r="CL6" i="2"/>
  <c r="CD6" i="2"/>
  <c r="BV6" i="2"/>
  <c r="BN6" i="2"/>
  <c r="BF6" i="2"/>
  <c r="AX6" i="2"/>
  <c r="AP6" i="2"/>
  <c r="AH6" i="2"/>
  <c r="Z6" i="2"/>
  <c r="R6" i="2"/>
  <c r="CK6" i="3"/>
  <c r="CC6" i="3"/>
  <c r="BU6" i="3"/>
  <c r="BE6" i="3"/>
  <c r="AU6" i="3"/>
  <c r="AL6" i="3"/>
  <c r="AC6" i="3"/>
  <c r="T6" i="3"/>
  <c r="BX6" i="5"/>
  <c r="BH6" i="5"/>
  <c r="AR6" i="5"/>
  <c r="AB6" i="5"/>
  <c r="E16" i="6"/>
  <c r="E39" i="6"/>
  <c r="E24" i="1"/>
  <c r="F24" i="1"/>
  <c r="G24" i="1"/>
  <c r="M24" i="1"/>
  <c r="CI6" i="1"/>
  <c r="BS6" i="1"/>
  <c r="BC6" i="1"/>
  <c r="AU6" i="1"/>
  <c r="AM6" i="1"/>
  <c r="CK6" i="2"/>
  <c r="CC6" i="2"/>
  <c r="BU6" i="2"/>
  <c r="BM6" i="2"/>
  <c r="BE6" i="2"/>
  <c r="AW6" i="2"/>
  <c r="AO6" i="2"/>
  <c r="AG6" i="2"/>
  <c r="Y6" i="2"/>
  <c r="CJ6" i="3"/>
  <c r="CB6" i="3"/>
  <c r="BT6" i="3"/>
  <c r="BL6" i="3"/>
  <c r="BC6" i="3"/>
  <c r="AT6" i="3"/>
  <c r="AK6" i="3"/>
  <c r="AB6" i="3"/>
  <c r="S6" i="3"/>
  <c r="CJ6" i="5"/>
  <c r="BT6" i="5"/>
  <c r="BD6" i="5"/>
  <c r="AN6" i="5"/>
  <c r="X6" i="5"/>
  <c r="E31" i="6"/>
  <c r="E35" i="6"/>
  <c r="E13" i="6"/>
  <c r="E41" i="1"/>
  <c r="F41" i="1"/>
  <c r="G41" i="1"/>
  <c r="K41" i="1"/>
  <c r="G25" i="4"/>
  <c r="I25" i="4"/>
  <c r="E22" i="4"/>
  <c r="F22" i="4"/>
  <c r="G22" i="4"/>
  <c r="G29" i="5"/>
  <c r="K29" i="5"/>
  <c r="E27" i="5"/>
  <c r="F27" i="5"/>
  <c r="G27" i="5"/>
  <c r="J27" i="5"/>
  <c r="G23" i="5"/>
  <c r="N23" i="5"/>
  <c r="E21" i="5"/>
  <c r="F21" i="5"/>
  <c r="E22" i="5"/>
  <c r="F22" i="5"/>
  <c r="G22" i="5"/>
  <c r="N22" i="5"/>
  <c r="G28" i="5"/>
  <c r="K28" i="5"/>
  <c r="E26" i="5"/>
  <c r="F26" i="5"/>
  <c r="G26" i="5"/>
  <c r="K26" i="5"/>
  <c r="G25" i="5"/>
  <c r="I25" i="5"/>
  <c r="N32" i="1"/>
  <c r="E33" i="6"/>
  <c r="R34" i="1"/>
  <c r="S34" i="1"/>
  <c r="N34" i="1"/>
  <c r="F22" i="1"/>
  <c r="G22" i="1"/>
  <c r="M22" i="1"/>
  <c r="E28" i="6"/>
  <c r="E11" i="6"/>
  <c r="F51" i="1"/>
  <c r="G51" i="1"/>
  <c r="K51" i="1"/>
  <c r="E25" i="6"/>
  <c r="J37" i="1"/>
  <c r="E34" i="6"/>
  <c r="F38" i="1"/>
  <c r="G38" i="1"/>
  <c r="K38" i="1"/>
  <c r="E17" i="6"/>
  <c r="E30" i="6"/>
  <c r="F30" i="1"/>
  <c r="G30" i="1"/>
  <c r="M30" i="1"/>
  <c r="F43" i="1"/>
  <c r="G43" i="1"/>
  <c r="M43" i="1"/>
  <c r="E32" i="6"/>
  <c r="F46" i="1"/>
  <c r="G46" i="1"/>
  <c r="K46" i="1"/>
  <c r="E22" i="6"/>
  <c r="E23" i="6"/>
  <c r="N22" i="4"/>
  <c r="C12" i="4"/>
  <c r="C16" i="4"/>
  <c r="D18" i="4"/>
  <c r="O29" i="4"/>
  <c r="R29" i="4"/>
  <c r="S29" i="4"/>
  <c r="O27" i="4"/>
  <c r="R27" i="4"/>
  <c r="S27" i="4"/>
  <c r="O24" i="4"/>
  <c r="R24" i="4"/>
  <c r="S24" i="4"/>
  <c r="C15" i="4"/>
  <c r="C18" i="4"/>
  <c r="O28" i="4"/>
  <c r="R28" i="4"/>
  <c r="S28" i="4"/>
  <c r="O21" i="4"/>
  <c r="R21" i="4"/>
  <c r="S21" i="4"/>
  <c r="C11" i="5"/>
  <c r="C12" i="5"/>
  <c r="C16" i="5"/>
  <c r="D18" i="5"/>
  <c r="E18" i="6"/>
  <c r="AG6" i="1"/>
  <c r="P6" i="1"/>
  <c r="BX6" i="1"/>
  <c r="BQ6" i="1"/>
  <c r="E29" i="6"/>
  <c r="E37" i="6"/>
  <c r="AK6" i="1"/>
  <c r="E28" i="3"/>
  <c r="F28" i="3"/>
  <c r="G28" i="3"/>
  <c r="K28" i="3"/>
  <c r="G21" i="3"/>
  <c r="E26" i="3"/>
  <c r="F26" i="3"/>
  <c r="G26" i="3"/>
  <c r="K26" i="3"/>
  <c r="E23" i="3"/>
  <c r="F23" i="3"/>
  <c r="G23" i="3"/>
  <c r="N23" i="3"/>
  <c r="G27" i="3"/>
  <c r="J27" i="3"/>
  <c r="E22" i="3"/>
  <c r="F22" i="3"/>
  <c r="G22" i="3"/>
  <c r="N22" i="3"/>
  <c r="E29" i="3"/>
  <c r="F29" i="3"/>
  <c r="G29" i="3"/>
  <c r="K29" i="3"/>
  <c r="BK6" i="1"/>
  <c r="E24" i="3"/>
  <c r="F24" i="3"/>
  <c r="G24" i="3"/>
  <c r="N24" i="3"/>
  <c r="E25" i="3"/>
  <c r="F25" i="3"/>
  <c r="G25" i="3"/>
  <c r="I25" i="3"/>
  <c r="AD6" i="1"/>
  <c r="BA6" i="1"/>
  <c r="BT6" i="1"/>
  <c r="CJ6" i="1"/>
  <c r="BP6" i="1"/>
  <c r="CE6" i="1"/>
  <c r="S6" i="1"/>
  <c r="CC6" i="1"/>
  <c r="Q6" i="1"/>
  <c r="AF6" i="1"/>
  <c r="AH6" i="1"/>
  <c r="BB6" i="1"/>
  <c r="BV6" i="1"/>
  <c r="CL6" i="1"/>
  <c r="BH6" i="1"/>
  <c r="BW6" i="1"/>
  <c r="BU6" i="1"/>
  <c r="X6" i="1"/>
  <c r="R6" i="1"/>
  <c r="AL6" i="1"/>
  <c r="BI6" i="1"/>
  <c r="BZ6" i="1"/>
  <c r="W6" i="1"/>
  <c r="AR6" i="1"/>
  <c r="BG6" i="1"/>
  <c r="BE6" i="1"/>
  <c r="AE6" i="1"/>
  <c r="U6" i="1"/>
  <c r="AP6" i="1"/>
  <c r="BJ6" i="1"/>
  <c r="CB6" i="1"/>
  <c r="AJ6" i="1"/>
  <c r="AY6" i="1"/>
  <c r="AW6" i="1"/>
  <c r="BL6" i="1"/>
  <c r="V6" i="1"/>
  <c r="AS6" i="1"/>
  <c r="BN6" i="1"/>
  <c r="CD6" i="1"/>
  <c r="AB6" i="1"/>
  <c r="AQ6" i="1"/>
  <c r="AO6" i="1"/>
  <c r="BD6" i="1"/>
  <c r="CA6" i="1"/>
  <c r="AC6" i="1"/>
  <c r="AX6" i="1"/>
  <c r="BR6" i="1"/>
  <c r="CH6" i="1"/>
  <c r="E19" i="6"/>
  <c r="E41" i="6"/>
  <c r="BY6" i="1"/>
  <c r="E14" i="6"/>
  <c r="E21" i="1"/>
  <c r="F21" i="1"/>
  <c r="G21" i="1"/>
  <c r="AY6" i="3"/>
  <c r="BA6" i="2"/>
  <c r="G50" i="1"/>
  <c r="M50" i="1"/>
  <c r="E33" i="1"/>
  <c r="F33" i="1"/>
  <c r="G33" i="1"/>
  <c r="X6" i="3"/>
  <c r="AL6" i="2"/>
  <c r="W6" i="2"/>
  <c r="E35" i="1"/>
  <c r="F35" i="1"/>
  <c r="G35" i="1"/>
  <c r="CI6" i="2"/>
  <c r="BC6" i="2"/>
  <c r="Q6" i="2"/>
  <c r="CA6" i="3"/>
  <c r="BK6" i="3"/>
  <c r="AS6" i="3"/>
  <c r="AA6" i="3"/>
  <c r="CC6" i="4"/>
  <c r="BR6" i="4"/>
  <c r="BD6" i="4"/>
  <c r="AR6" i="4"/>
  <c r="AE6" i="4"/>
  <c r="Q6" i="4"/>
  <c r="BS6" i="5"/>
  <c r="E39" i="1"/>
  <c r="P6" i="3"/>
  <c r="G28" i="2"/>
  <c r="K28" i="2"/>
  <c r="G26" i="2"/>
  <c r="K26" i="2"/>
  <c r="G24" i="2"/>
  <c r="N24" i="2"/>
  <c r="G22" i="2"/>
  <c r="BZ6" i="3"/>
  <c r="BJ6" i="3"/>
  <c r="AR6" i="3"/>
  <c r="Z6" i="3"/>
  <c r="BM6" i="3"/>
  <c r="CD6" i="3"/>
  <c r="BP6" i="3"/>
  <c r="E53" i="1"/>
  <c r="E52" i="1"/>
  <c r="F52" i="1"/>
  <c r="G52" i="1"/>
  <c r="K52" i="1"/>
  <c r="BB6" i="2"/>
  <c r="CA6" i="2"/>
  <c r="AU6" i="2"/>
  <c r="BY6" i="3"/>
  <c r="BI6" i="3"/>
  <c r="AQ6" i="3"/>
  <c r="Y6" i="3"/>
  <c r="G54" i="1"/>
  <c r="M54" i="1"/>
  <c r="CF6" i="3"/>
  <c r="BD6" i="3"/>
  <c r="BS6" i="2"/>
  <c r="AF6" i="2"/>
  <c r="CI6" i="3"/>
  <c r="BS6" i="3"/>
  <c r="BB6" i="3"/>
  <c r="AJ6" i="3"/>
  <c r="R6" i="3"/>
  <c r="CJ6" i="4"/>
  <c r="BX6" i="4"/>
  <c r="BK6" i="4"/>
  <c r="AW6" i="4"/>
  <c r="AL6" i="4"/>
  <c r="AV6" i="3"/>
  <c r="G29" i="2"/>
  <c r="K29" i="2"/>
  <c r="G27" i="2"/>
  <c r="J27" i="2"/>
  <c r="G25" i="2"/>
  <c r="I25" i="2"/>
  <c r="G23" i="2"/>
  <c r="N23" i="2"/>
  <c r="BL6" i="2"/>
  <c r="CH6" i="3"/>
  <c r="BR6" i="3"/>
  <c r="BA6" i="3"/>
  <c r="AI6" i="3"/>
  <c r="R21" i="1"/>
  <c r="S21" i="1"/>
  <c r="H21" i="1"/>
  <c r="F53" i="1"/>
  <c r="G53" i="1"/>
  <c r="K53" i="1"/>
  <c r="E27" i="6"/>
  <c r="N22" i="2"/>
  <c r="C12" i="2"/>
  <c r="C16" i="2"/>
  <c r="D18" i="2"/>
  <c r="R33" i="1"/>
  <c r="S33" i="1"/>
  <c r="N33" i="1"/>
  <c r="O22" i="4"/>
  <c r="R22" i="4"/>
  <c r="C12" i="3"/>
  <c r="C16" i="3"/>
  <c r="D18" i="3"/>
  <c r="H21" i="3"/>
  <c r="C11" i="3"/>
  <c r="C11" i="2"/>
  <c r="I35" i="1"/>
  <c r="R35" i="1"/>
  <c r="S35" i="1"/>
  <c r="E26" i="6"/>
  <c r="O28" i="5"/>
  <c r="R28" i="5"/>
  <c r="S28" i="5"/>
  <c r="O29" i="5"/>
  <c r="R29" i="5"/>
  <c r="S29" i="5"/>
  <c r="C15" i="5"/>
  <c r="C18" i="5"/>
  <c r="O25" i="5"/>
  <c r="R25" i="5"/>
  <c r="S25" i="5"/>
  <c r="O27" i="5"/>
  <c r="R27" i="5"/>
  <c r="S27" i="5"/>
  <c r="O26" i="5"/>
  <c r="R26" i="5"/>
  <c r="S26" i="5"/>
  <c r="O22" i="5"/>
  <c r="R22" i="5"/>
  <c r="O21" i="5"/>
  <c r="R21" i="5"/>
  <c r="S21" i="5"/>
  <c r="O24" i="5"/>
  <c r="R24" i="5"/>
  <c r="S24" i="5"/>
  <c r="O23" i="5"/>
  <c r="R23" i="5"/>
  <c r="S23" i="5"/>
  <c r="O26" i="4"/>
  <c r="R26" i="4"/>
  <c r="S26" i="4"/>
  <c r="F39" i="1"/>
  <c r="G39" i="1"/>
  <c r="E38" i="6"/>
  <c r="E12" i="6"/>
  <c r="O23" i="4"/>
  <c r="R23" i="4"/>
  <c r="S23" i="4"/>
  <c r="O25" i="4"/>
  <c r="R25" i="4"/>
  <c r="S25" i="4"/>
  <c r="S22" i="5"/>
  <c r="D9" i="5"/>
  <c r="O25" i="2"/>
  <c r="R25" i="2"/>
  <c r="O21" i="2"/>
  <c r="R21" i="2"/>
  <c r="O27" i="2"/>
  <c r="R27" i="2"/>
  <c r="O22" i="2"/>
  <c r="R22" i="2"/>
  <c r="O24" i="2"/>
  <c r="R24" i="2"/>
  <c r="O26" i="2"/>
  <c r="R26" i="2"/>
  <c r="O28" i="2"/>
  <c r="R28" i="2"/>
  <c r="C15" i="2"/>
  <c r="C18" i="2"/>
  <c r="O29" i="2"/>
  <c r="R29" i="2"/>
  <c r="O23" i="2"/>
  <c r="R23" i="2"/>
  <c r="C15" i="3"/>
  <c r="C18" i="3"/>
  <c r="O21" i="3"/>
  <c r="R21" i="3"/>
  <c r="O27" i="3"/>
  <c r="R27" i="3"/>
  <c r="S27" i="3"/>
  <c r="O25" i="3"/>
  <c r="R25" i="3"/>
  <c r="S25" i="3"/>
  <c r="O28" i="3"/>
  <c r="R28" i="3"/>
  <c r="S28" i="3"/>
  <c r="O23" i="3"/>
  <c r="R23" i="3"/>
  <c r="S23" i="3"/>
  <c r="O22" i="3"/>
  <c r="R22" i="3"/>
  <c r="S22" i="3"/>
  <c r="O24" i="3"/>
  <c r="R24" i="3"/>
  <c r="S24" i="3"/>
  <c r="O29" i="3"/>
  <c r="R29" i="3"/>
  <c r="S29" i="3"/>
  <c r="O26" i="3"/>
  <c r="R26" i="3"/>
  <c r="S26" i="3"/>
  <c r="M39" i="1"/>
  <c r="D9" i="4"/>
  <c r="S22" i="4"/>
  <c r="S21" i="3"/>
  <c r="D9" i="3"/>
  <c r="D9" i="2"/>
  <c r="C11" i="1"/>
  <c r="C12" i="1"/>
  <c r="O55" i="1" l="1"/>
  <c r="C16" i="1"/>
  <c r="D18" i="1" s="1"/>
  <c r="O49" i="1"/>
  <c r="O41" i="1"/>
  <c r="O40" i="1"/>
  <c r="R40" i="1" s="1"/>
  <c r="S40" i="1" s="1"/>
  <c r="O45" i="1"/>
  <c r="O53" i="1"/>
  <c r="O46" i="1"/>
  <c r="O42" i="1"/>
  <c r="O54" i="1"/>
  <c r="O36" i="1"/>
  <c r="R36" i="1" s="1"/>
  <c r="S36" i="1" s="1"/>
  <c r="O52" i="1"/>
  <c r="O38" i="1"/>
  <c r="R38" i="1" s="1"/>
  <c r="S38" i="1" s="1"/>
  <c r="C15" i="1"/>
  <c r="F18" i="1" s="1"/>
  <c r="O37" i="1"/>
  <c r="R37" i="1" s="1"/>
  <c r="S37" i="1" s="1"/>
  <c r="O51" i="1"/>
  <c r="O50" i="1"/>
  <c r="O47" i="1"/>
  <c r="O39" i="1"/>
  <c r="O48" i="1"/>
  <c r="O44" i="1"/>
  <c r="O43" i="1"/>
  <c r="F19" i="1" l="1"/>
  <c r="C18" i="1"/>
</calcChain>
</file>

<file path=xl/sharedStrings.xml><?xml version="1.0" encoding="utf-8"?>
<sst xmlns="http://schemas.openxmlformats.org/spreadsheetml/2006/main" count="580" uniqueCount="227">
  <si>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</si>
  <si>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</si>
  <si>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</si>
  <si>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</si>
  <si>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</si>
  <si>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</si>
  <si>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</si>
  <si>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</si>
  <si>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</si>
  <si>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</si>
  <si>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</si>
  <si>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</si>
  <si>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</si>
  <si>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</si>
  <si>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</si>
  <si>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</si>
  <si>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</si>
  <si>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</si>
  <si>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</si>
  <si>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</si>
  <si>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</si>
  <si>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</si>
  <si>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</si>
  <si>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</si>
  <si>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</si>
  <si>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</si>
  <si>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</si>
  <si>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</si>
  <si>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</si>
  <si>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TY Lyn</t>
  </si>
  <si>
    <t>IBVS 5484</t>
  </si>
  <si>
    <t>BAMBERG 11</t>
  </si>
  <si>
    <t>VB 5,6</t>
  </si>
  <si>
    <t>BAV-M 34</t>
  </si>
  <si>
    <t>BBSAG Bull.109</t>
  </si>
  <si>
    <t>BAV</t>
  </si>
  <si>
    <t>BBSAG</t>
  </si>
  <si>
    <t>IBVS</t>
  </si>
  <si>
    <t>IBVS 4222</t>
  </si>
  <si>
    <t># cycles</t>
  </si>
  <si>
    <t>Period</t>
  </si>
  <si>
    <t>Sum diff^2</t>
  </si>
  <si>
    <t>half this?</t>
  </si>
  <si>
    <t>Ecc orbit?</t>
  </si>
  <si>
    <t>Another maybe</t>
  </si>
  <si>
    <t>I</t>
  </si>
  <si>
    <t>NO</t>
  </si>
  <si>
    <t>EA/SD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</si>
  <si>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</si>
  <si>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</si>
  <si>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</si>
  <si>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</si>
  <si>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</si>
  <si>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</si>
  <si>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5802</t>
  </si>
  <si>
    <t>TY Lyn / GSC 3415-1299</t>
  </si>
  <si>
    <t>Start of linear fit &gt;&gt;&gt;&gt;&gt;&gt;&gt;&gt;&gt;&gt;&gt;&gt;&gt;&gt;&gt;&gt;&gt;&gt;&gt;&gt;&gt;</t>
  </si>
  <si>
    <t>IBVS 5871</t>
  </si>
  <si>
    <t>Add cycle</t>
  </si>
  <si>
    <t>Old Cycle</t>
  </si>
  <si>
    <t>IBVS 5959</t>
  </si>
  <si>
    <t>IBVS 6048</t>
  </si>
  <si>
    <t>OEJV 0160</t>
  </si>
  <si>
    <t>OEJV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</si>
  <si>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</si>
  <si>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</si>
  <si>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</si>
  <si>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</si>
  <si>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</si>
  <si>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</si>
  <si>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</si>
  <si>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</si>
  <si>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</si>
  <si>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</si>
  <si>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</si>
  <si>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</si>
  <si>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</si>
  <si>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2426024.329 </t>
  </si>
  <si>
    <t> 16.02.1930 19:53 </t>
  </si>
  <si>
    <t> 0.004 </t>
  </si>
  <si>
    <t>P </t>
  </si>
  <si>
    <t> W.Strohmeier </t>
  </si>
  <si>
    <t> VB 5.6 </t>
  </si>
  <si>
    <t>2426769.369 </t>
  </si>
  <si>
    <t> 02.03.1932 20:51 </t>
  </si>
  <si>
    <t> -0.001 </t>
  </si>
  <si>
    <t>2426769.391 </t>
  </si>
  <si>
    <t> 02.03.1932 21:23 </t>
  </si>
  <si>
    <t> 0.021 </t>
  </si>
  <si>
    <t>2426808.336 </t>
  </si>
  <si>
    <t> 10.04.1932 20:03 </t>
  </si>
  <si>
    <t> -0.019 </t>
  </si>
  <si>
    <t>2427449.465 </t>
  </si>
  <si>
    <t> 11.01.1934 23:09 </t>
  </si>
  <si>
    <t> 0.026 </t>
  </si>
  <si>
    <t>2427449.508 </t>
  </si>
  <si>
    <t> 12.01.1934 00:11 </t>
  </si>
  <si>
    <t> 0.069 </t>
  </si>
  <si>
    <t>2428636.352 </t>
  </si>
  <si>
    <t> 12.04.1937 20:26 </t>
  </si>
  <si>
    <t> 0.039 </t>
  </si>
  <si>
    <t>2428835.532 </t>
  </si>
  <si>
    <t> 29.10.1937 00:46 </t>
  </si>
  <si>
    <t> -0.037 </t>
  </si>
  <si>
    <t>2429303.392 </t>
  </si>
  <si>
    <t> 08.02.1939 21:24 </t>
  </si>
  <si>
    <t>2434445.214 </t>
  </si>
  <si>
    <t> 08.03.1953 17:08 </t>
  </si>
  <si>
    <t> 0.152 </t>
  </si>
  <si>
    <t> G.S.Filatov </t>
  </si>
  <si>
    <t> AC 215.21 </t>
  </si>
  <si>
    <t>2435922.234 </t>
  </si>
  <si>
    <t> 24.03.1957 17:36 </t>
  </si>
  <si>
    <t> 0.077 </t>
  </si>
  <si>
    <t>2436541.595 </t>
  </si>
  <si>
    <t> 04.12.1958 02:16 </t>
  </si>
  <si>
    <t> 0.012 </t>
  </si>
  <si>
    <t>2436628.369 </t>
  </si>
  <si>
    <t> 28.02.1959 20:51 </t>
  </si>
  <si>
    <t> 0.153 </t>
  </si>
  <si>
    <t>2445001.300 </t>
  </si>
  <si>
    <t> 31.01.1982 19:12 </t>
  </si>
  <si>
    <t> -0.006 </t>
  </si>
  <si>
    <t>V </t>
  </si>
  <si>
    <t> J.Hübscher </t>
  </si>
  <si>
    <t>BAVM 34 </t>
  </si>
  <si>
    <t>2448986.4931 </t>
  </si>
  <si>
    <t> 29.12.1992 23:50 </t>
  </si>
  <si>
    <t> 0.0649 </t>
  </si>
  <si>
    <t>E </t>
  </si>
  <si>
    <t> Team Sternwarte </t>
  </si>
  <si>
    <t>BAVM 80 </t>
  </si>
  <si>
    <t>2449809.520 </t>
  </si>
  <si>
    <t> 02.04.1995 00:28 </t>
  </si>
  <si>
    <t> F.Acerbi </t>
  </si>
  <si>
    <t> BBS 109 </t>
  </si>
  <si>
    <t>2452369.5219 </t>
  </si>
  <si>
    <t> 05.04.2002 00:31 </t>
  </si>
  <si>
    <t> 0.0712 </t>
  </si>
  <si>
    <t>-I</t>
  </si>
  <si>
    <t> F.Agerer </t>
  </si>
  <si>
    <t>BAVM 158 </t>
  </si>
  <si>
    <t>2452720.427 </t>
  </si>
  <si>
    <t> 21.03.2003 22:14 </t>
  </si>
  <si>
    <t>6163</t>
  </si>
  <si>
    <t> 0.112 </t>
  </si>
  <si>
    <t> R.Meyer </t>
  </si>
  <si>
    <t>BAVM 157 </t>
  </si>
  <si>
    <t>2452746.3687 </t>
  </si>
  <si>
    <t> 16.04.2003 20:50 </t>
  </si>
  <si>
    <t>6169</t>
  </si>
  <si>
    <t> 0.0640 </t>
  </si>
  <si>
    <t>o</t>
  </si>
  <si>
    <t> W.Proksch </t>
  </si>
  <si>
    <t>2454210.4685 </t>
  </si>
  <si>
    <t> 19.04.2007 23:14 </t>
  </si>
  <si>
    <t>6507</t>
  </si>
  <si>
    <t> 0.0644 </t>
  </si>
  <si>
    <t>C </t>
  </si>
  <si>
    <t>BAVM 186 </t>
  </si>
  <si>
    <t>2454457.3667 </t>
  </si>
  <si>
    <t> 22.12.2007 20:48 </t>
  </si>
  <si>
    <t>6564</t>
  </si>
  <si>
    <t> 0.0583 </t>
  </si>
  <si>
    <t> Moschner &amp; Frank </t>
  </si>
  <si>
    <t>BAVM 203 </t>
  </si>
  <si>
    <t>2454509.3472 </t>
  </si>
  <si>
    <t> 12.02.2008 20:19 </t>
  </si>
  <si>
    <t>6576</t>
  </si>
  <si>
    <t> 0.0589 </t>
  </si>
  <si>
    <t> G.Monninger </t>
  </si>
  <si>
    <t>2454829.8921 </t>
  </si>
  <si>
    <t> 29.12.2008 09:24 </t>
  </si>
  <si>
    <t>6650</t>
  </si>
  <si>
    <t> 0.0613 </t>
  </si>
  <si>
    <t> R.Diethelm </t>
  </si>
  <si>
    <t>IBVS 5871 </t>
  </si>
  <si>
    <t>2455280.3812 </t>
  </si>
  <si>
    <t> 24.03.2010 21:08 </t>
  </si>
  <si>
    <t>6754</t>
  </si>
  <si>
    <t>BAVM 214 </t>
  </si>
  <si>
    <t>2455306.3755 </t>
  </si>
  <si>
    <t> 19.04.2010 21:00 </t>
  </si>
  <si>
    <t>6760</t>
  </si>
  <si>
    <t> 0.0627 </t>
  </si>
  <si>
    <t> H.Jungbluth </t>
  </si>
  <si>
    <t>2455956.1199 </t>
  </si>
  <si>
    <t> 29.01.2012 14:52 </t>
  </si>
  <si>
    <t>6910</t>
  </si>
  <si>
    <t> 0.0588 </t>
  </si>
  <si>
    <t> H.Itoh </t>
  </si>
  <si>
    <t>VSB 55 </t>
  </si>
  <si>
    <t>2456012.4326 </t>
  </si>
  <si>
    <t> 25.03.2012 22:22 </t>
  </si>
  <si>
    <t>6923</t>
  </si>
  <si>
    <t> 0.0600 </t>
  </si>
  <si>
    <t>BAVM 228 </t>
  </si>
  <si>
    <t>2456246.33744 </t>
  </si>
  <si>
    <t> 14.11.2012 20:05 </t>
  </si>
  <si>
    <t>6977</t>
  </si>
  <si>
    <t> 0.05550 </t>
  </si>
  <si>
    <t> M.Urbanik </t>
  </si>
  <si>
    <t>OEJV 0160 </t>
  </si>
  <si>
    <t>2456649.1834 </t>
  </si>
  <si>
    <t> 22.12.2013 16:24 </t>
  </si>
  <si>
    <t>7070</t>
  </si>
  <si>
    <t> 0.0575 </t>
  </si>
  <si>
    <t>Rc</t>
  </si>
  <si>
    <t> K.Shiokawa </t>
  </si>
  <si>
    <t>VSB 56 </t>
  </si>
  <si>
    <t>2456731.4834 </t>
  </si>
  <si>
    <t> 14.03.2014 23:36 </t>
  </si>
  <si>
    <t>7089</t>
  </si>
  <si>
    <t> 0.0561 </t>
  </si>
  <si>
    <t>BAVM 238 </t>
  </si>
  <si>
    <t>2456744.4810 </t>
  </si>
  <si>
    <t> 27.03.2014 23:32 </t>
  </si>
  <si>
    <t>7092</t>
  </si>
  <si>
    <t> 0.0587 </t>
  </si>
  <si>
    <t>2457069.3504 </t>
  </si>
  <si>
    <t> 15.02.2015 20:24 </t>
  </si>
  <si>
    <t>7167</t>
  </si>
  <si>
    <t> 0.0540 </t>
  </si>
  <si>
    <t>BAVM 239 </t>
  </si>
  <si>
    <t>VSB 067</t>
  </si>
  <si>
    <t>VSB, 91</t>
  </si>
  <si>
    <t>VSB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</si>
</sst>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name val="Arial Unicode MS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>
      <alignment vertical="top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4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4" fillId="2" borderId="12" xfId="7" applyFill="1" applyBorder="1" applyAlignment="1" applyProtection="1">
      <alignment horizontal="right" vertical="top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5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Lyn - O-C Diagr.</a:t>
            </a:r>
          </a:p>
        </c:rich>
      </c:tx>
      <c:layout>
        <c:manualLayout>
          <c:xMode val="edge"/>
          <c:yMode val="edge"/>
          <c:x val="0.3794215594433332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4833752664158"/>
          <c:y val="0.1458966565349544"/>
          <c:w val="0.8199363349831809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53-44B5-B122-1AE407A4AC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4">
                  <c:v>-5.5549999960931018E-3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53-44B5-B122-1AE407A4AC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6">
                  <c:v>7.7394999992975499E-2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53-44B5-B122-1AE407A4AC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5">
                  <c:v>6.4944999998260755E-2</c:v>
                </c:pt>
                <c:pt idx="17">
                  <c:v>7.1190000002388842E-2</c:v>
                </c:pt>
                <c:pt idx="19">
                  <c:v>6.400500000017928E-2</c:v>
                </c:pt>
                <c:pt idx="20">
                  <c:v>6.4415000000735745E-2</c:v>
                </c:pt>
                <c:pt idx="23">
                  <c:v>6.1350000003585592E-2</c:v>
                </c:pt>
                <c:pt idx="24">
                  <c:v>5.8330000007117633E-2</c:v>
                </c:pt>
                <c:pt idx="25">
                  <c:v>6.2700000002223533E-2</c:v>
                </c:pt>
                <c:pt idx="27">
                  <c:v>6.0035000002244487E-2</c:v>
                </c:pt>
                <c:pt idx="30">
                  <c:v>5.6104999996023253E-2</c:v>
                </c:pt>
                <c:pt idx="31">
                  <c:v>5.874000000039814E-2</c:v>
                </c:pt>
                <c:pt idx="32">
                  <c:v>5.4015000008803327E-2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53-44B5-B122-1AE407A4AC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28">
                  <c:v>5.550500000390457E-2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53-44B5-B122-1AE407A4AC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  <c:pt idx="1">
                  <c:v>4.0000000008149073E-3</c:v>
                </c:pt>
                <c:pt idx="2">
                  <c:v>-6.6000000151689164E-4</c:v>
                </c:pt>
                <c:pt idx="3">
                  <c:v>2.1339999999327119E-2</c:v>
                </c:pt>
                <c:pt idx="4">
                  <c:v>-1.8555000002379529E-2</c:v>
                </c:pt>
                <c:pt idx="5">
                  <c:v>2.5505000001430744E-2</c:v>
                </c:pt>
                <c:pt idx="6">
                  <c:v>6.850500000291504E-2</c:v>
                </c:pt>
                <c:pt idx="7">
                  <c:v>3.9034999997966224E-2</c:v>
                </c:pt>
                <c:pt idx="8">
                  <c:v>-3.7094999999681022E-2</c:v>
                </c:pt>
                <c:pt idx="9">
                  <c:v>4.1649999984656461E-3</c:v>
                </c:pt>
                <c:pt idx="10">
                  <c:v>0.15168000000267057</c:v>
                </c:pt>
                <c:pt idx="18">
                  <c:v>0.1122350000005099</c:v>
                </c:pt>
                <c:pt idx="21">
                  <c:v>5.8279999997466803E-2</c:v>
                </c:pt>
                <c:pt idx="22">
                  <c:v>5.8920000003126916E-2</c:v>
                </c:pt>
                <c:pt idx="26">
                  <c:v>5.8850000001257285E-2</c:v>
                </c:pt>
                <c:pt idx="29">
                  <c:v>5.7550000004994217E-2</c:v>
                </c:pt>
                <c:pt idx="33">
                  <c:v>5.6109999997715931E-2</c:v>
                </c:pt>
                <c:pt idx="34">
                  <c:v>6.5779999873484485E-2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53-44B5-B122-1AE407A4AC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11">
                  <c:v>7.7324999998381827E-2</c:v>
                </c:pt>
                <c:pt idx="12">
                  <c:v>1.1660000003757887E-2</c:v>
                </c:pt>
                <c:pt idx="13">
                  <c:v>0.15255999999499181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53-44B5-B122-1AE407A4AC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5">
                  <c:v>8.3458840301488965E-2</c:v>
                </c:pt>
                <c:pt idx="16">
                  <c:v>8.0862735817334455E-2</c:v>
                </c:pt>
                <c:pt idx="17">
                  <c:v>7.2787484500832805E-2</c:v>
                </c:pt>
                <c:pt idx="18">
                  <c:v>7.1680724168114301E-2</c:v>
                </c:pt>
                <c:pt idx="19">
                  <c:v>7.1598741921246267E-2</c:v>
                </c:pt>
                <c:pt idx="20">
                  <c:v>6.6980408681013515E-2</c:v>
                </c:pt>
                <c:pt idx="21">
                  <c:v>6.6201577335767162E-2</c:v>
                </c:pt>
                <c:pt idx="22">
                  <c:v>6.6037612842031093E-2</c:v>
                </c:pt>
                <c:pt idx="23">
                  <c:v>6.5026498463991958E-2</c:v>
                </c:pt>
                <c:pt idx="24">
                  <c:v>6.3605472851612652E-2</c:v>
                </c:pt>
                <c:pt idx="25">
                  <c:v>6.3523490604744617E-2</c:v>
                </c:pt>
                <c:pt idx="26">
                  <c:v>6.1473934433043692E-2</c:v>
                </c:pt>
                <c:pt idx="27">
                  <c:v>6.1296306231496275E-2</c:v>
                </c:pt>
                <c:pt idx="28">
                  <c:v>6.0558466009683939E-2</c:v>
                </c:pt>
                <c:pt idx="29">
                  <c:v>5.9287741183229367E-2</c:v>
                </c:pt>
                <c:pt idx="30">
                  <c:v>5.9028130734813916E-2</c:v>
                </c:pt>
                <c:pt idx="31">
                  <c:v>5.8987139611379899E-2</c:v>
                </c:pt>
                <c:pt idx="32">
                  <c:v>5.7962361525529429E-2</c:v>
                </c:pt>
                <c:pt idx="33">
                  <c:v>5.3439674239976059E-2</c:v>
                </c:pt>
                <c:pt idx="34">
                  <c:v>5.11714987432937E-2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53-44B5-B122-1AE407A4A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40720"/>
        <c:axId val="1"/>
      </c:scatterChart>
      <c:valAx>
        <c:axId val="859140720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160932053911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40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40209804964089"/>
          <c:y val="0.86322188449848025"/>
          <c:w val="0.68810340025824746"/>
          <c:h val="0.121580547112462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Lyn - O-C Diagr.</a:t>
            </a:r>
          </a:p>
        </c:rich>
      </c:tx>
      <c:layout>
        <c:manualLayout>
          <c:xMode val="edge"/>
          <c:yMode val="edge"/>
          <c:x val="0.36559196229503566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2213353027962"/>
          <c:y val="0.14545497589659059"/>
          <c:w val="0.79570031729586221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6-4D6A-BF29-ABA72AD5E2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4">
                  <c:v>-5.5549999960931018E-3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26-4D6A-BF29-ABA72AD5E2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6">
                  <c:v>7.7394999992975499E-2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26-4D6A-BF29-ABA72AD5E2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5">
                  <c:v>6.4944999998260755E-2</c:v>
                </c:pt>
                <c:pt idx="17">
                  <c:v>7.1190000002388842E-2</c:v>
                </c:pt>
                <c:pt idx="19">
                  <c:v>6.400500000017928E-2</c:v>
                </c:pt>
                <c:pt idx="20">
                  <c:v>6.4415000000735745E-2</c:v>
                </c:pt>
                <c:pt idx="23">
                  <c:v>6.1350000003585592E-2</c:v>
                </c:pt>
                <c:pt idx="24">
                  <c:v>5.8330000007117633E-2</c:v>
                </c:pt>
                <c:pt idx="25">
                  <c:v>6.2700000002223533E-2</c:v>
                </c:pt>
                <c:pt idx="27">
                  <c:v>6.0035000002244487E-2</c:v>
                </c:pt>
                <c:pt idx="30">
                  <c:v>5.6104999996023253E-2</c:v>
                </c:pt>
                <c:pt idx="31">
                  <c:v>5.874000000039814E-2</c:v>
                </c:pt>
                <c:pt idx="32">
                  <c:v>5.4015000008803327E-2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26-4D6A-BF29-ABA72AD5E2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28">
                  <c:v>5.550500000390457E-2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26-4D6A-BF29-ABA72AD5E2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  <c:pt idx="1">
                  <c:v>4.0000000008149073E-3</c:v>
                </c:pt>
                <c:pt idx="2">
                  <c:v>-6.6000000151689164E-4</c:v>
                </c:pt>
                <c:pt idx="3">
                  <c:v>2.1339999999327119E-2</c:v>
                </c:pt>
                <c:pt idx="4">
                  <c:v>-1.8555000002379529E-2</c:v>
                </c:pt>
                <c:pt idx="5">
                  <c:v>2.5505000001430744E-2</c:v>
                </c:pt>
                <c:pt idx="6">
                  <c:v>6.850500000291504E-2</c:v>
                </c:pt>
                <c:pt idx="7">
                  <c:v>3.9034999997966224E-2</c:v>
                </c:pt>
                <c:pt idx="8">
                  <c:v>-3.7094999999681022E-2</c:v>
                </c:pt>
                <c:pt idx="9">
                  <c:v>4.1649999984656461E-3</c:v>
                </c:pt>
                <c:pt idx="10">
                  <c:v>0.15168000000267057</c:v>
                </c:pt>
                <c:pt idx="18">
                  <c:v>0.1122350000005099</c:v>
                </c:pt>
                <c:pt idx="21">
                  <c:v>5.8279999997466803E-2</c:v>
                </c:pt>
                <c:pt idx="22">
                  <c:v>5.8920000003126916E-2</c:v>
                </c:pt>
                <c:pt idx="26">
                  <c:v>5.8850000001257285E-2</c:v>
                </c:pt>
                <c:pt idx="29">
                  <c:v>5.7550000004994217E-2</c:v>
                </c:pt>
                <c:pt idx="33">
                  <c:v>5.6109999997715931E-2</c:v>
                </c:pt>
                <c:pt idx="34">
                  <c:v>6.5779999873484485E-2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26-4D6A-BF29-ABA72AD5E2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7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3">
                    <c:v>5.9999999999999995E-4</c:v>
                  </c:pt>
                  <c:pt idx="24">
                    <c:v>3.8999999999999998E-3</c:v>
                  </c:pt>
                  <c:pt idx="25">
                    <c:v>5.7000000000000002E-3</c:v>
                  </c:pt>
                  <c:pt idx="27">
                    <c:v>4.4000000000000003E-3</c:v>
                  </c:pt>
                  <c:pt idx="28">
                    <c:v>4.0000000000000002E-4</c:v>
                  </c:pt>
                  <c:pt idx="30">
                    <c:v>8.6E-3</c:v>
                  </c:pt>
                  <c:pt idx="31">
                    <c:v>1.6999999999999999E-3</c:v>
                  </c:pt>
                  <c:pt idx="32">
                    <c:v>7.9000000000000008E-3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11">
                  <c:v>7.7324999998381827E-2</c:v>
                </c:pt>
                <c:pt idx="12">
                  <c:v>1.1660000003757887E-2</c:v>
                </c:pt>
                <c:pt idx="13">
                  <c:v>0.15255999999499181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26-4D6A-BF29-ABA72AD5E2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172</c:v>
                </c:pt>
                <c:pt idx="3">
                  <c:v>172</c:v>
                </c:pt>
                <c:pt idx="4">
                  <c:v>181</c:v>
                </c:pt>
                <c:pt idx="5">
                  <c:v>329</c:v>
                </c:pt>
                <c:pt idx="6">
                  <c:v>329</c:v>
                </c:pt>
                <c:pt idx="7">
                  <c:v>603</c:v>
                </c:pt>
                <c:pt idx="8">
                  <c:v>649</c:v>
                </c:pt>
                <c:pt idx="9">
                  <c:v>757</c:v>
                </c:pt>
                <c:pt idx="10">
                  <c:v>1944</c:v>
                </c:pt>
                <c:pt idx="11">
                  <c:v>2285</c:v>
                </c:pt>
                <c:pt idx="12">
                  <c:v>2428</c:v>
                </c:pt>
                <c:pt idx="13">
                  <c:v>2448</c:v>
                </c:pt>
                <c:pt idx="14">
                  <c:v>4381</c:v>
                </c:pt>
                <c:pt idx="15">
                  <c:v>5301</c:v>
                </c:pt>
                <c:pt idx="16">
                  <c:v>5491</c:v>
                </c:pt>
                <c:pt idx="17">
                  <c:v>6082</c:v>
                </c:pt>
                <c:pt idx="18">
                  <c:v>6163</c:v>
                </c:pt>
                <c:pt idx="19">
                  <c:v>6169</c:v>
                </c:pt>
                <c:pt idx="20">
                  <c:v>6507</c:v>
                </c:pt>
                <c:pt idx="21">
                  <c:v>6564</c:v>
                </c:pt>
                <c:pt idx="22">
                  <c:v>6576</c:v>
                </c:pt>
                <c:pt idx="23">
                  <c:v>6650</c:v>
                </c:pt>
                <c:pt idx="24">
                  <c:v>6754</c:v>
                </c:pt>
                <c:pt idx="25">
                  <c:v>6760</c:v>
                </c:pt>
                <c:pt idx="26">
                  <c:v>6910</c:v>
                </c:pt>
                <c:pt idx="27">
                  <c:v>6923</c:v>
                </c:pt>
                <c:pt idx="28">
                  <c:v>6977</c:v>
                </c:pt>
                <c:pt idx="29">
                  <c:v>7070</c:v>
                </c:pt>
                <c:pt idx="30">
                  <c:v>7089</c:v>
                </c:pt>
                <c:pt idx="31">
                  <c:v>7092</c:v>
                </c:pt>
                <c:pt idx="32">
                  <c:v>7167</c:v>
                </c:pt>
                <c:pt idx="33">
                  <c:v>7498</c:v>
                </c:pt>
                <c:pt idx="34">
                  <c:v>7664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5">
                  <c:v>8.3458840301488965E-2</c:v>
                </c:pt>
                <c:pt idx="16">
                  <c:v>8.0862735817334455E-2</c:v>
                </c:pt>
                <c:pt idx="17">
                  <c:v>7.2787484500832805E-2</c:v>
                </c:pt>
                <c:pt idx="18">
                  <c:v>7.1680724168114301E-2</c:v>
                </c:pt>
                <c:pt idx="19">
                  <c:v>7.1598741921246267E-2</c:v>
                </c:pt>
                <c:pt idx="20">
                  <c:v>6.6980408681013515E-2</c:v>
                </c:pt>
                <c:pt idx="21">
                  <c:v>6.6201577335767162E-2</c:v>
                </c:pt>
                <c:pt idx="22">
                  <c:v>6.6037612842031093E-2</c:v>
                </c:pt>
                <c:pt idx="23">
                  <c:v>6.5026498463991958E-2</c:v>
                </c:pt>
                <c:pt idx="24">
                  <c:v>6.3605472851612652E-2</c:v>
                </c:pt>
                <c:pt idx="25">
                  <c:v>6.3523490604744617E-2</c:v>
                </c:pt>
                <c:pt idx="26">
                  <c:v>6.1473934433043692E-2</c:v>
                </c:pt>
                <c:pt idx="27">
                  <c:v>6.1296306231496275E-2</c:v>
                </c:pt>
                <c:pt idx="28">
                  <c:v>6.0558466009683939E-2</c:v>
                </c:pt>
                <c:pt idx="29">
                  <c:v>5.9287741183229367E-2</c:v>
                </c:pt>
                <c:pt idx="30">
                  <c:v>5.9028130734813916E-2</c:v>
                </c:pt>
                <c:pt idx="31">
                  <c:v>5.8987139611379899E-2</c:v>
                </c:pt>
                <c:pt idx="32">
                  <c:v>5.7962361525529429E-2</c:v>
                </c:pt>
                <c:pt idx="33">
                  <c:v>5.3439674239976059E-2</c:v>
                </c:pt>
                <c:pt idx="34">
                  <c:v>5.11714987432937E-2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26-4D6A-BF29-ABA72AD5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50888"/>
        <c:axId val="1"/>
      </c:scatterChart>
      <c:valAx>
        <c:axId val="859150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8266117272975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63629008739502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50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98226700157103E-2"/>
          <c:y val="0.86363890877276706"/>
          <c:w val="0.767026406645406"/>
          <c:h val="0.12121243935417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Lyn - O-C Diagr.</a:t>
            </a:r>
          </a:p>
        </c:rich>
      </c:tx>
      <c:layout>
        <c:manualLayout>
          <c:xMode val="edge"/>
          <c:yMode val="edge"/>
          <c:x val="0.3940259032343574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8570710189249"/>
          <c:y val="0.14814859468012961"/>
          <c:w val="0.85348565681513988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(2)'!$H$21:$H$992</c:f>
              <c:numCache>
                <c:formatCode>General</c:formatCode>
                <c:ptCount val="972"/>
                <c:pt idx="0">
                  <c:v>2.9922068965533981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B3-4297-8998-342841582FA7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(2)'!$I$21:$I$992</c:f>
              <c:numCache>
                <c:formatCode>General</c:formatCode>
                <c:ptCount val="972"/>
                <c:pt idx="4">
                  <c:v>0.39886206948722247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B3-4297-8998-342841582FA7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(2)'!$J$21:$J$992</c:f>
              <c:numCache>
                <c:formatCode>General</c:formatCode>
                <c:ptCount val="972"/>
                <c:pt idx="6">
                  <c:v>0.14237931099341949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B3-4297-8998-342841582FA7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(2)'!$K$21:$K$992</c:f>
              <c:numCache>
                <c:formatCode>General</c:formatCode>
                <c:ptCount val="972"/>
                <c:pt idx="5">
                  <c:v>-2.7624137299426366E-2</c:v>
                </c:pt>
                <c:pt idx="7">
                  <c:v>-1.1848241372063057</c:v>
                </c:pt>
                <c:pt idx="8">
                  <c:v>-1.3560931027095648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B3-4297-8998-342841582FA7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B3-4297-8998-342841582FA7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B3-4297-8998-342841582FA7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(2)'!$N$21:$N$992</c:f>
              <c:numCache>
                <c:formatCode>General</c:formatCode>
                <c:ptCount val="972"/>
                <c:pt idx="1">
                  <c:v>2.6807931037183153</c:v>
                </c:pt>
                <c:pt idx="2">
                  <c:v>2.6549655175331281</c:v>
                </c:pt>
                <c:pt idx="3">
                  <c:v>2.6549655175331281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B3-4297-8998-342841582FA7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1653.5</c:v>
                </c:pt>
                <c:pt idx="2">
                  <c:v>1757</c:v>
                </c:pt>
                <c:pt idx="3">
                  <c:v>1771.5</c:v>
                </c:pt>
                <c:pt idx="4">
                  <c:v>3171</c:v>
                </c:pt>
                <c:pt idx="5">
                  <c:v>3837</c:v>
                </c:pt>
                <c:pt idx="6">
                  <c:v>3974.5</c:v>
                </c:pt>
                <c:pt idx="7">
                  <c:v>4402.5</c:v>
                </c:pt>
                <c:pt idx="8">
                  <c:v>4465.5</c:v>
                </c:pt>
              </c:numCache>
            </c:numRef>
          </c:xVal>
          <c:yVal>
            <c:numRef>
              <c:f>'A (2)'!$O$21:$O$992</c:f>
              <c:numCache>
                <c:formatCode>General</c:formatCode>
                <c:ptCount val="972"/>
                <c:pt idx="0">
                  <c:v>5.0277746807571013</c:v>
                </c:pt>
                <c:pt idx="1">
                  <c:v>2.7645185928523461</c:v>
                </c:pt>
                <c:pt idx="2">
                  <c:v>2.6228940432162262</c:v>
                </c:pt>
                <c:pt idx="3">
                  <c:v>2.6030529227358037</c:v>
                </c:pt>
                <c:pt idx="4">
                  <c:v>0.68804270809087953</c:v>
                </c:pt>
                <c:pt idx="5">
                  <c:v>-0.2232804808719786</c:v>
                </c:pt>
                <c:pt idx="6">
                  <c:v>-0.41142903715184787</c:v>
                </c:pt>
                <c:pt idx="7">
                  <c:v>-0.99708417960845974</c:v>
                </c:pt>
                <c:pt idx="8">
                  <c:v>-1.0832904272130541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B3-4297-8998-342841582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36784"/>
        <c:axId val="1"/>
      </c:scatterChart>
      <c:valAx>
        <c:axId val="859136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587624093218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64153627311522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36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9261022315312"/>
          <c:y val="0.86728654288584295"/>
          <c:w val="0.76671467986843034"/>
          <c:h val="0.123457114157026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Lyn - O-C Diagr.</a:t>
            </a:r>
          </a:p>
        </c:rich>
      </c:tx>
      <c:layout>
        <c:manualLayout>
          <c:xMode val="edge"/>
          <c:yMode val="edge"/>
          <c:x val="0.37520990780675029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032123560713"/>
          <c:y val="0.14814859468012961"/>
          <c:w val="0.82914708494799017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(3)'!$H$21:$H$992</c:f>
              <c:numCache>
                <c:formatCode>General</c:formatCode>
                <c:ptCount val="972"/>
                <c:pt idx="0">
                  <c:v>4.2328780487805489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4C-4B82-B648-38F5A6EA3643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(3)'!$D$21:$D$992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(3)'!$I$21:$I$992</c:f>
              <c:numCache>
                <c:formatCode>General</c:formatCode>
                <c:ptCount val="972"/>
                <c:pt idx="4">
                  <c:v>0.98270731759839691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4C-4B82-B648-38F5A6EA3643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(3)'!$D$21:$D$43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(3)'!$J$21:$J$992</c:f>
              <c:numCache>
                <c:formatCode>General</c:formatCode>
                <c:ptCount val="972"/>
                <c:pt idx="6">
                  <c:v>0.65324390309251612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4C-4B82-B648-38F5A6EA3643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(3)'!$K$21:$K$992</c:f>
              <c:numCache>
                <c:formatCode>General</c:formatCode>
                <c:ptCount val="972"/>
                <c:pt idx="5">
                  <c:v>0.92112439087213716</c:v>
                </c:pt>
                <c:pt idx="7">
                  <c:v>-0.23607560902746627</c:v>
                </c:pt>
                <c:pt idx="8">
                  <c:v>-0.11542195048969006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4C-4B82-B648-38F5A6EA3643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4C-4B82-B648-38F5A6EA3643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4C-4B82-B648-38F5A6EA3643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(3)'!$D$21:$D$92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(3)'!$N$21:$N$992</c:f>
              <c:numCache>
                <c:formatCode>General</c:formatCode>
                <c:ptCount val="972"/>
                <c:pt idx="1">
                  <c:v>3.556560975877801</c:v>
                </c:pt>
                <c:pt idx="2">
                  <c:v>2.8009268295572838</c:v>
                </c:pt>
                <c:pt idx="3">
                  <c:v>2.8009268295572838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4C-4B82-B648-38F5A6EA3643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(3)'!$F$21:$F$992</c:f>
              <c:numCache>
                <c:formatCode>General</c:formatCode>
                <c:ptCount val="972"/>
                <c:pt idx="0">
                  <c:v>-1</c:v>
                </c:pt>
                <c:pt idx="1">
                  <c:v>2337.5</c:v>
                </c:pt>
                <c:pt idx="2">
                  <c:v>2484</c:v>
                </c:pt>
                <c:pt idx="3">
                  <c:v>2504.5</c:v>
                </c:pt>
                <c:pt idx="4">
                  <c:v>4483</c:v>
                </c:pt>
                <c:pt idx="5">
                  <c:v>5424.5</c:v>
                </c:pt>
                <c:pt idx="6">
                  <c:v>5619</c:v>
                </c:pt>
                <c:pt idx="7">
                  <c:v>6224</c:v>
                </c:pt>
                <c:pt idx="8">
                  <c:v>6313</c:v>
                </c:pt>
              </c:numCache>
            </c:numRef>
          </c:xVal>
          <c:yVal>
            <c:numRef>
              <c:f>'A (3)'!$O$21:$O$992</c:f>
              <c:numCache>
                <c:formatCode>General</c:formatCode>
                <c:ptCount val="972"/>
                <c:pt idx="0">
                  <c:v>4.6150228447379851</c:v>
                </c:pt>
                <c:pt idx="1">
                  <c:v>2.9014330125163394</c:v>
                </c:pt>
                <c:pt idx="2">
                  <c:v>2.7940817572584944</c:v>
                </c:pt>
                <c:pt idx="3">
                  <c:v>2.7790599092531298</c:v>
                </c:pt>
                <c:pt idx="4">
                  <c:v>1.3292683834671446</c:v>
                </c:pt>
                <c:pt idx="5">
                  <c:v>0.63936253483054895</c:v>
                </c:pt>
                <c:pt idx="6">
                  <c:v>0.49683817204794867</c:v>
                </c:pt>
                <c:pt idx="7">
                  <c:v>5.3510462621352062E-2</c:v>
                </c:pt>
                <c:pt idx="8">
                  <c:v>-1.1706340914130919E-2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4C-4B82-B648-38F5A6EA3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42032"/>
        <c:axId val="1"/>
      </c:scatterChart>
      <c:valAx>
        <c:axId val="85914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563693357425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42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601340033500838E-2"/>
          <c:y val="0.86728654288584295"/>
          <c:w val="0.87604830803184774"/>
          <c:h val="0.123457114157026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Lyn - O-C Diagr.</a:t>
            </a:r>
          </a:p>
        </c:rich>
      </c:tx>
      <c:layout>
        <c:manualLayout>
          <c:xMode val="edge"/>
          <c:yMode val="edge"/>
          <c:x val="0.37520990780675029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61390058022"/>
          <c:y val="0.14814859468012961"/>
          <c:w val="0.8174217726355943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(4)'!$H$21:$H$992</c:f>
              <c:numCache>
                <c:formatCode>General</c:formatCode>
                <c:ptCount val="972"/>
                <c:pt idx="0">
                  <c:v>-1.7354799999993702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DB-46A9-9519-A978559D8021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(4)'!$D$21:$D$992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(4)'!$I$21:$I$992</c:f>
              <c:numCache>
                <c:formatCode>General</c:formatCode>
                <c:ptCount val="972"/>
                <c:pt idx="4">
                  <c:v>-0.49879999947734177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DB-46A9-9519-A978559D8021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(4)'!$D$21:$D$43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(4)'!$J$21:$J$992</c:f>
              <c:numCache>
                <c:formatCode>General</c:formatCode>
                <c:ptCount val="972"/>
                <c:pt idx="6">
                  <c:v>0.44160000065312488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DB-46A9-9519-A978559D8021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(4)'!$K$21:$K$992</c:f>
              <c:numCache>
                <c:formatCode>General</c:formatCode>
                <c:ptCount val="972"/>
                <c:pt idx="5">
                  <c:v>3.2220000626693945E-2</c:v>
                </c:pt>
                <c:pt idx="7">
                  <c:v>0.61050000073009869</c:v>
                </c:pt>
                <c:pt idx="8">
                  <c:v>0.85814000073150964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DB-46A9-9519-A978559D8021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DB-46A9-9519-A978559D8021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DB-46A9-9519-A978559D8021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(4)'!$D$21:$D$92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(4)'!$N$21:$N$992</c:f>
              <c:numCache>
                <c:formatCode>General</c:formatCode>
                <c:ptCount val="972"/>
                <c:pt idx="1">
                  <c:v>-1.2689199997330434</c:v>
                </c:pt>
                <c:pt idx="2">
                  <c:v>-1.4742799997111433</c:v>
                </c:pt>
                <c:pt idx="3">
                  <c:v>-1.4742799997111433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DB-46A9-9519-A978559D8021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(4)'!$F$21:$F$992</c:f>
              <c:numCache>
                <c:formatCode>General</c:formatCode>
                <c:ptCount val="972"/>
                <c:pt idx="0">
                  <c:v>0.5</c:v>
                </c:pt>
                <c:pt idx="1">
                  <c:v>2852</c:v>
                </c:pt>
                <c:pt idx="2">
                  <c:v>3030.5</c:v>
                </c:pt>
                <c:pt idx="3">
                  <c:v>3055.5</c:v>
                </c:pt>
                <c:pt idx="4">
                  <c:v>5467.5</c:v>
                </c:pt>
                <c:pt idx="5">
                  <c:v>6615.5</c:v>
                </c:pt>
                <c:pt idx="6">
                  <c:v>6852.5</c:v>
                </c:pt>
                <c:pt idx="7">
                  <c:v>7590</c:v>
                </c:pt>
                <c:pt idx="8">
                  <c:v>7698.5</c:v>
                </c:pt>
              </c:numCache>
            </c:numRef>
          </c:xVal>
          <c:yVal>
            <c:numRef>
              <c:f>'A (4)'!$O$21:$O$992</c:f>
              <c:numCache>
                <c:formatCode>General</c:formatCode>
                <c:ptCount val="972"/>
                <c:pt idx="0">
                  <c:v>-2.7834567766210525</c:v>
                </c:pt>
                <c:pt idx="1">
                  <c:v>-1.4954761410495347</c:v>
                </c:pt>
                <c:pt idx="2">
                  <c:v>-1.4148503148354312</c:v>
                </c:pt>
                <c:pt idx="3">
                  <c:v>-1.4035581823124477</c:v>
                </c:pt>
                <c:pt idx="4">
                  <c:v>-0.31409323649498289</c:v>
                </c:pt>
                <c:pt idx="5">
                  <c:v>0.20444148896042735</c:v>
                </c:pt>
                <c:pt idx="6">
                  <c:v>0.3114909052783128</c:v>
                </c:pt>
                <c:pt idx="7">
                  <c:v>0.64460881470633113</c:v>
                </c:pt>
                <c:pt idx="8">
                  <c:v>0.69361666985607995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DB-46A9-9519-A978559D8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47280"/>
        <c:axId val="1"/>
      </c:scatterChart>
      <c:valAx>
        <c:axId val="85914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139446137072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4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601340033500838E-2"/>
          <c:y val="0.86728654288584295"/>
          <c:w val="0.87604830803184774"/>
          <c:h val="0.123457114157026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Lyn - O-C Diagr.</a:t>
            </a:r>
          </a:p>
        </c:rich>
      </c:tx>
      <c:layout>
        <c:manualLayout>
          <c:xMode val="edge"/>
          <c:yMode val="edge"/>
          <c:x val="0.37520990780675029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61390058022"/>
          <c:y val="0.14814859468012961"/>
          <c:w val="0.81239663878742474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(5)'!$H$21:$H$992</c:f>
              <c:numCache>
                <c:formatCode>General</c:formatCode>
                <c:ptCount val="972"/>
                <c:pt idx="0">
                  <c:v>-1.7354799999993702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40-45FD-B88B-3A04359AA6E0}"/>
            </c:ext>
          </c:extLst>
        </c:ser>
        <c:ser>
          <c:idx val="1"/>
          <c:order val="1"/>
          <c:tx>
            <c:strRef>
              <c:f>'A (5)'!$I$20:$I$20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(5)'!$D$21:$D$992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(5)'!$D$21:$D$992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(5)'!$I$21:$I$992</c:f>
              <c:numCache>
                <c:formatCode>General</c:formatCode>
                <c:ptCount val="972"/>
                <c:pt idx="4">
                  <c:v>0.58587500052817632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40-45FD-B88B-3A04359AA6E0}"/>
            </c:ext>
          </c:extLst>
        </c:ser>
        <c:ser>
          <c:idx val="3"/>
          <c:order val="2"/>
          <c:tx>
            <c:strRef>
              <c:f>'A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(5)'!$D$21:$D$43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(5)'!$D$21:$D$43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(5)'!$J$21:$J$992</c:f>
              <c:numCache>
                <c:formatCode>General</c:formatCode>
                <c:ptCount val="972"/>
                <c:pt idx="6">
                  <c:v>-0.37190624935465166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40-45FD-B88B-3A04359AA6E0}"/>
            </c:ext>
          </c:extLst>
        </c:ser>
        <c:ser>
          <c:idx val="4"/>
          <c:order val="3"/>
          <c:tx>
            <c:strRef>
              <c:f>'A (5)'!$K$20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(5)'!$K$21:$K$992</c:f>
              <c:numCache>
                <c:formatCode>General</c:formatCode>
                <c:ptCount val="972"/>
                <c:pt idx="5">
                  <c:v>-0.40164999936678214</c:v>
                </c:pt>
                <c:pt idx="7">
                  <c:v>-0.20300624927767785</c:v>
                </c:pt>
                <c:pt idx="8">
                  <c:v>-0.28076874926773598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40-45FD-B88B-3A04359AA6E0}"/>
            </c:ext>
          </c:extLst>
        </c:ser>
        <c:ser>
          <c:idx val="2"/>
          <c:order val="4"/>
          <c:tx>
            <c:strRef>
              <c:f>'A (5)'!$L$20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40-45FD-B88B-3A04359AA6E0}"/>
            </c:ext>
          </c:extLst>
        </c:ser>
        <c:ser>
          <c:idx val="5"/>
          <c:order val="5"/>
          <c:tx>
            <c:strRef>
              <c:f>'A (5)'!$M$20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40-45FD-B88B-3A04359AA6E0}"/>
            </c:ext>
          </c:extLst>
        </c:ser>
        <c:ser>
          <c:idx val="6"/>
          <c:order val="6"/>
          <c:tx>
            <c:strRef>
              <c:f>'A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(5)'!$D$21:$D$92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5.0000000000000001E-4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(5)'!$N$21:$N$992</c:f>
              <c:numCache>
                <c:formatCode>General</c:formatCode>
                <c:ptCount val="972"/>
                <c:pt idx="1">
                  <c:v>0.2496250002659508</c:v>
                </c:pt>
                <c:pt idx="2">
                  <c:v>-9.968749713152647E-3</c:v>
                </c:pt>
                <c:pt idx="3">
                  <c:v>-9.9687497058766894E-3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40-45FD-B88B-3A04359AA6E0}"/>
            </c:ext>
          </c:extLst>
        </c:ser>
        <c:ser>
          <c:idx val="7"/>
          <c:order val="7"/>
          <c:tx>
            <c:strRef>
              <c:f>'A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(5)'!$F$21:$F$992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3650</c:v>
                </c:pt>
                <c:pt idx="2">
                  <c:v>3878.5</c:v>
                </c:pt>
                <c:pt idx="3">
                  <c:v>3910.5</c:v>
                </c:pt>
                <c:pt idx="4">
                  <c:v>6998</c:v>
                </c:pt>
                <c:pt idx="5">
                  <c:v>8468</c:v>
                </c:pt>
                <c:pt idx="6">
                  <c:v>8771.5</c:v>
                </c:pt>
                <c:pt idx="7">
                  <c:v>9715.5</c:v>
                </c:pt>
                <c:pt idx="8">
                  <c:v>9854.5</c:v>
                </c:pt>
              </c:numCache>
            </c:numRef>
          </c:xVal>
          <c:yVal>
            <c:numRef>
              <c:f>'A (5)'!$O$21:$O$992</c:f>
              <c:numCache>
                <c:formatCode>General</c:formatCode>
                <c:ptCount val="972"/>
                <c:pt idx="0">
                  <c:v>0.40533309044051447</c:v>
                </c:pt>
                <c:pt idx="1">
                  <c:v>0.16191165807162394</c:v>
                </c:pt>
                <c:pt idx="2">
                  <c:v>0.1466728094972975</c:v>
                </c:pt>
                <c:pt idx="3">
                  <c:v>0.14453870378885791</c:v>
                </c:pt>
                <c:pt idx="4">
                  <c:v>-6.1369151673867972E-2</c:v>
                </c:pt>
                <c:pt idx="5">
                  <c:v>-0.15940463265531157</c:v>
                </c:pt>
                <c:pt idx="6">
                  <c:v>-0.17964529148379327</c:v>
                </c:pt>
                <c:pt idx="7">
                  <c:v>-0.24260140988276113</c:v>
                </c:pt>
                <c:pt idx="8">
                  <c:v>-0.25187143155379554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40-45FD-B88B-3A04359A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44328"/>
        <c:axId val="1"/>
      </c:scatterChart>
      <c:valAx>
        <c:axId val="859144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638608616134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44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601340033500838E-2"/>
          <c:y val="0.86728654288584295"/>
          <c:w val="0.87604830803184774"/>
          <c:h val="0.123457114157026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123825</xdr:rowOff>
    </xdr:from>
    <xdr:to>
      <xdr:col>17</xdr:col>
      <xdr:colOff>495300</xdr:colOff>
      <xdr:row>18</xdr:row>
      <xdr:rowOff>104775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8A84917-255B-48F9-9095-88AD6AD8D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76200</xdr:rowOff>
    </xdr:from>
    <xdr:to>
      <xdr:col>27</xdr:col>
      <xdr:colOff>171450</xdr:colOff>
      <xdr:row>18</xdr:row>
      <xdr:rowOff>114300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F4E9D7B-0949-6FA1-8B42-446FB4CD2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0</xdr:rowOff>
    </xdr:from>
    <xdr:to>
      <xdr:col>15</xdr:col>
      <xdr:colOff>123825</xdr:colOff>
      <xdr:row>18</xdr:row>
      <xdr:rowOff>47625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1F6F6102-D7C2-ECE1-69B0-0F952D767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9525</xdr:rowOff>
    </xdr:from>
    <xdr:to>
      <xdr:col>13</xdr:col>
      <xdr:colOff>285750</xdr:colOff>
      <xdr:row>18</xdr:row>
      <xdr:rowOff>57150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826AF25B-5B95-43FE-5B6B-E4A3E36EA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9525</xdr:rowOff>
    </xdr:from>
    <xdr:to>
      <xdr:col>13</xdr:col>
      <xdr:colOff>285750</xdr:colOff>
      <xdr:row>18</xdr:row>
      <xdr:rowOff>57150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645477F2-9264-16D4-B007-E4F130F28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9525</xdr:rowOff>
    </xdr:from>
    <xdr:to>
      <xdr:col>13</xdr:col>
      <xdr:colOff>285750</xdr:colOff>
      <xdr:row>18</xdr:row>
      <xdr:rowOff>57150</xdr:rowOff>
    </xdr:to>
    <xdr:graphicFrame macro="">
      <xdr:nvGraphicFramePr>
        <xdr:cNvPr id="56323" name="Chart 1">
          <a:extLst>
            <a:ext uri="{FF2B5EF4-FFF2-40B4-BE49-F238E27FC236}">
              <a16:creationId xmlns:a16="http://schemas.microsoft.com/office/drawing/2014/main" id="{F97F7B3B-803D-6488-9624-E54D4D7DF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28" TargetMode="External"/><Relationship Id="rId1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158" TargetMode="External"/><Relationship Id="rId7" Type="http://schemas.openxmlformats.org/officeDocument/2006/relationships/hyperlink" Target="http://www.bav-astro.de/sfs/BAVM_link.php?BAVMnr=203" TargetMode="External"/><Relationship Id="rId12" Type="http://schemas.openxmlformats.org/officeDocument/2006/relationships/hyperlink" Target="http://vsolj.cetus-net.org/vsoljno55.pdf" TargetMode="External"/><Relationship Id="rId1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80" TargetMode="External"/><Relationship Id="rId16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bav-astro.de/sfs/BAVM_link.php?BAVMnr=21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bav-astro.de/sfs/BAVM_link.php?BAVMnr=157" TargetMode="External"/><Relationship Id="rId9" Type="http://schemas.openxmlformats.org/officeDocument/2006/relationships/hyperlink" Target="http://www.konkoly.hu/cgi-bin/IBVS?5871" TargetMode="External"/><Relationship Id="rId14" Type="http://schemas.openxmlformats.org/officeDocument/2006/relationships/hyperlink" Target="http://var.astro.cz/oejv/issues/oejv016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65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9.5703125" customWidth="1"/>
    <col min="16" max="16" width="7.7109375" customWidth="1"/>
    <col min="17" max="17" width="9.85546875" customWidth="1"/>
  </cols>
  <sheetData>
    <row r="1" spans="1:90" ht="20.25">
      <c r="A1" s="1" t="s">
        <v>55</v>
      </c>
      <c r="C1" s="17"/>
    </row>
    <row r="2" spans="1:90" s="38" customFormat="1" ht="12.95" customHeight="1">
      <c r="A2" s="38" t="s">
        <v>25</v>
      </c>
      <c r="B2" s="39" t="s">
        <v>47</v>
      </c>
      <c r="P2" s="40">
        <v>36541.595000000001</v>
      </c>
      <c r="BI2" s="38" t="s">
        <v>43</v>
      </c>
    </row>
    <row r="3" spans="1:90" s="38" customFormat="1" ht="12.95" customHeight="1" thickBot="1">
      <c r="P3" s="40">
        <v>36628.368999999999</v>
      </c>
      <c r="BH3" s="38" t="s">
        <v>42</v>
      </c>
    </row>
    <row r="4" spans="1:90" s="38" customFormat="1" ht="12.95" customHeight="1" thickTop="1" thickBot="1">
      <c r="A4" s="41" t="s">
        <v>0</v>
      </c>
      <c r="C4" s="42">
        <v>26024.325000000001</v>
      </c>
      <c r="D4" s="43">
        <v>4.3316549999999996</v>
      </c>
      <c r="P4" s="38">
        <f>+P3-P2</f>
        <v>86.773999999997613</v>
      </c>
    </row>
    <row r="5" spans="1:90" s="38" customFormat="1" ht="12.95" customHeight="1" thickTop="1">
      <c r="A5" s="44" t="s">
        <v>48</v>
      </c>
      <c r="C5" s="45">
        <v>-9.5</v>
      </c>
      <c r="D5" s="38" t="s">
        <v>49</v>
      </c>
      <c r="O5" s="38" t="s">
        <v>39</v>
      </c>
      <c r="P5" s="38">
        <v>10</v>
      </c>
      <c r="Q5" s="38">
        <v>10.5</v>
      </c>
      <c r="R5" s="38">
        <v>11</v>
      </c>
      <c r="S5" s="38">
        <v>11.5</v>
      </c>
      <c r="T5" s="38">
        <v>12</v>
      </c>
      <c r="U5" s="38">
        <v>12.5</v>
      </c>
      <c r="V5" s="38">
        <v>13</v>
      </c>
      <c r="W5" s="38">
        <v>13.5</v>
      </c>
      <c r="X5" s="38">
        <v>14</v>
      </c>
      <c r="Y5" s="38">
        <v>14.5</v>
      </c>
      <c r="Z5" s="38">
        <v>15</v>
      </c>
      <c r="AA5" s="38">
        <v>15.5</v>
      </c>
      <c r="AB5" s="38">
        <v>16</v>
      </c>
      <c r="AC5" s="38">
        <v>16.5</v>
      </c>
      <c r="AD5" s="38">
        <v>17</v>
      </c>
      <c r="AE5" s="38">
        <v>17.5</v>
      </c>
      <c r="AF5" s="38">
        <v>18</v>
      </c>
      <c r="AG5" s="38">
        <v>18.5</v>
      </c>
      <c r="AH5" s="38">
        <v>19</v>
      </c>
      <c r="AI5" s="38">
        <v>19.5</v>
      </c>
      <c r="AJ5" s="38">
        <v>20</v>
      </c>
      <c r="AK5" s="38">
        <v>20.5</v>
      </c>
      <c r="AL5" s="38">
        <v>21</v>
      </c>
      <c r="AM5" s="38">
        <v>21.5</v>
      </c>
      <c r="AN5" s="38">
        <v>22</v>
      </c>
      <c r="AO5" s="38">
        <v>22.5</v>
      </c>
      <c r="AP5" s="38">
        <v>23</v>
      </c>
      <c r="AQ5" s="38">
        <v>23.5</v>
      </c>
      <c r="AR5" s="38">
        <v>24</v>
      </c>
      <c r="AS5" s="38">
        <v>24.5</v>
      </c>
      <c r="AT5" s="38">
        <v>25</v>
      </c>
      <c r="AU5" s="38">
        <v>25.5</v>
      </c>
      <c r="AV5" s="38">
        <v>26</v>
      </c>
      <c r="AW5" s="38">
        <v>26.5</v>
      </c>
      <c r="AX5" s="38">
        <v>27</v>
      </c>
      <c r="AY5" s="38">
        <v>27.5</v>
      </c>
      <c r="AZ5" s="38">
        <v>28</v>
      </c>
      <c r="BA5" s="38">
        <v>28.5</v>
      </c>
      <c r="BB5" s="38">
        <v>29</v>
      </c>
      <c r="BC5" s="38">
        <v>29.5</v>
      </c>
      <c r="BD5" s="38">
        <v>30</v>
      </c>
      <c r="BE5" s="38">
        <v>30.5</v>
      </c>
      <c r="BF5" s="38">
        <v>31</v>
      </c>
      <c r="BG5" s="38">
        <v>31.5</v>
      </c>
      <c r="BH5" s="38">
        <v>32</v>
      </c>
      <c r="BI5" s="38">
        <v>32.5</v>
      </c>
      <c r="BJ5" s="38">
        <v>33</v>
      </c>
      <c r="BK5" s="38">
        <v>33.5</v>
      </c>
      <c r="BL5" s="38">
        <v>34</v>
      </c>
      <c r="BM5" s="38">
        <v>34.5</v>
      </c>
      <c r="BN5" s="38">
        <v>35</v>
      </c>
      <c r="BO5" s="38">
        <v>35.5</v>
      </c>
      <c r="BP5" s="38">
        <v>36</v>
      </c>
      <c r="BQ5" s="38">
        <v>36.5</v>
      </c>
      <c r="BR5" s="38">
        <v>37</v>
      </c>
      <c r="BS5" s="38">
        <v>37.5</v>
      </c>
      <c r="BT5" s="38">
        <v>38</v>
      </c>
      <c r="BU5" s="38">
        <v>38.5</v>
      </c>
      <c r="BV5" s="38">
        <v>39</v>
      </c>
      <c r="BW5" s="38">
        <v>39.5</v>
      </c>
      <c r="BX5" s="38">
        <v>40</v>
      </c>
      <c r="BY5" s="38">
        <v>40.5</v>
      </c>
      <c r="BZ5" s="38">
        <v>41</v>
      </c>
      <c r="CA5" s="38">
        <v>41.5</v>
      </c>
      <c r="CB5" s="38">
        <v>42</v>
      </c>
      <c r="CC5" s="38">
        <v>42.5</v>
      </c>
      <c r="CD5" s="38">
        <v>43</v>
      </c>
      <c r="CE5" s="38">
        <v>43.5</v>
      </c>
      <c r="CF5" s="38">
        <v>44</v>
      </c>
      <c r="CG5" s="38">
        <v>44.5</v>
      </c>
      <c r="CH5" s="38">
        <v>45</v>
      </c>
      <c r="CI5" s="38">
        <v>45.5</v>
      </c>
      <c r="CJ5" s="38">
        <v>46</v>
      </c>
      <c r="CK5" s="38">
        <v>46.5</v>
      </c>
      <c r="CL5" s="38">
        <v>47</v>
      </c>
    </row>
    <row r="6" spans="1:90" s="38" customFormat="1" ht="12.95" customHeight="1">
      <c r="A6" s="41" t="s">
        <v>1</v>
      </c>
      <c r="O6" s="38" t="s">
        <v>40</v>
      </c>
      <c r="P6" s="38">
        <f>+$P$4/P5</f>
        <v>8.6773999999997606</v>
      </c>
      <c r="Q6" s="38">
        <f t="shared" ref="Q6:CB6" si="0">+$P$4/Q5</f>
        <v>8.2641904761902492</v>
      </c>
      <c r="R6" s="38">
        <f t="shared" si="0"/>
        <v>7.8885454545452376</v>
      </c>
      <c r="S6" s="38">
        <f t="shared" si="0"/>
        <v>7.545565217391097</v>
      </c>
      <c r="T6" s="38">
        <f t="shared" si="0"/>
        <v>7.2311666666664678</v>
      </c>
      <c r="U6" s="38">
        <f t="shared" si="0"/>
        <v>6.9419199999998087</v>
      </c>
      <c r="V6" s="38">
        <f t="shared" si="0"/>
        <v>6.6749230769228936</v>
      </c>
      <c r="W6" s="38">
        <f t="shared" si="0"/>
        <v>6.4277037037035267</v>
      </c>
      <c r="X6" s="38">
        <f t="shared" si="0"/>
        <v>6.1981428571426864</v>
      </c>
      <c r="Y6" s="41">
        <f t="shared" si="0"/>
        <v>5.9844137931032835</v>
      </c>
      <c r="Z6" s="38">
        <f t="shared" si="0"/>
        <v>5.7849333333331741</v>
      </c>
      <c r="AA6" s="38">
        <f t="shared" si="0"/>
        <v>5.5983225806450072</v>
      </c>
      <c r="AB6" s="38">
        <f t="shared" si="0"/>
        <v>5.4233749999998508</v>
      </c>
      <c r="AC6" s="38">
        <f t="shared" si="0"/>
        <v>5.2590303030301584</v>
      </c>
      <c r="AD6" s="38">
        <f t="shared" si="0"/>
        <v>5.1043529411763302</v>
      </c>
      <c r="AE6" s="38">
        <f t="shared" si="0"/>
        <v>4.9585142857141493</v>
      </c>
      <c r="AF6" s="38">
        <f t="shared" si="0"/>
        <v>4.8207777777776455</v>
      </c>
      <c r="AG6" s="38">
        <f t="shared" si="0"/>
        <v>4.6904864864863578</v>
      </c>
      <c r="AH6" s="38">
        <f t="shared" si="0"/>
        <v>4.5670526315788216</v>
      </c>
      <c r="AI6" s="38">
        <f t="shared" si="0"/>
        <v>4.4499487179485957</v>
      </c>
      <c r="AJ6" s="38">
        <f t="shared" si="0"/>
        <v>4.3386999999998803</v>
      </c>
      <c r="AK6" s="38">
        <f t="shared" si="0"/>
        <v>4.2328780487803712</v>
      </c>
      <c r="AL6" s="38">
        <f t="shared" si="0"/>
        <v>4.1320952380951246</v>
      </c>
      <c r="AM6" s="38">
        <f t="shared" si="0"/>
        <v>4.0359999999998886</v>
      </c>
      <c r="AN6" s="38">
        <f t="shared" si="0"/>
        <v>3.9442727272726188</v>
      </c>
      <c r="AO6" s="38">
        <f t="shared" si="0"/>
        <v>3.856622222222116</v>
      </c>
      <c r="AP6" s="38">
        <f t="shared" si="0"/>
        <v>3.7727826086955485</v>
      </c>
      <c r="AQ6" s="38">
        <f t="shared" si="0"/>
        <v>3.6925106382977706</v>
      </c>
      <c r="AR6" s="38">
        <f t="shared" si="0"/>
        <v>3.6155833333332339</v>
      </c>
      <c r="AS6" s="38">
        <f t="shared" si="0"/>
        <v>3.5417959183672494</v>
      </c>
      <c r="AT6" s="38">
        <f t="shared" si="0"/>
        <v>3.4709599999999043</v>
      </c>
      <c r="AU6" s="38">
        <f t="shared" si="0"/>
        <v>3.4029019607842201</v>
      </c>
      <c r="AV6" s="38">
        <f t="shared" si="0"/>
        <v>3.3374615384614468</v>
      </c>
      <c r="AW6" s="38">
        <f t="shared" si="0"/>
        <v>3.2744905660376458</v>
      </c>
      <c r="AX6" s="38">
        <f t="shared" si="0"/>
        <v>3.2138518518517634</v>
      </c>
      <c r="AY6" s="38">
        <f t="shared" si="0"/>
        <v>3.1554181818180949</v>
      </c>
      <c r="AZ6" s="38">
        <f t="shared" si="0"/>
        <v>3.0990714285713432</v>
      </c>
      <c r="BA6" s="38">
        <f t="shared" si="0"/>
        <v>3.0447017543858812</v>
      </c>
      <c r="BB6" s="41">
        <f t="shared" si="0"/>
        <v>2.9922068965516417</v>
      </c>
      <c r="BC6" s="38">
        <f t="shared" si="0"/>
        <v>2.9414915254236478</v>
      </c>
      <c r="BD6" s="38">
        <f t="shared" si="0"/>
        <v>2.892466666666587</v>
      </c>
      <c r="BE6" s="38">
        <f t="shared" si="0"/>
        <v>2.8450491803277904</v>
      </c>
      <c r="BF6" s="38">
        <f t="shared" si="0"/>
        <v>2.7991612903225036</v>
      </c>
      <c r="BG6" s="38">
        <f t="shared" si="0"/>
        <v>2.7547301587300828</v>
      </c>
      <c r="BH6" s="41">
        <f t="shared" si="0"/>
        <v>2.7116874999999254</v>
      </c>
      <c r="BI6" s="38">
        <f t="shared" si="0"/>
        <v>2.6699692307691572</v>
      </c>
      <c r="BJ6" s="38">
        <f t="shared" si="0"/>
        <v>2.6295151515150792</v>
      </c>
      <c r="BK6" s="38">
        <f t="shared" si="0"/>
        <v>2.5902686567163467</v>
      </c>
      <c r="BL6" s="38">
        <f t="shared" si="0"/>
        <v>2.5521764705881651</v>
      </c>
      <c r="BM6" s="38">
        <f t="shared" si="0"/>
        <v>2.5151884057970322</v>
      </c>
      <c r="BN6" s="38">
        <f t="shared" si="0"/>
        <v>2.4792571428570747</v>
      </c>
      <c r="BO6" s="38">
        <f t="shared" si="0"/>
        <v>2.4443380281689469</v>
      </c>
      <c r="BP6" s="38">
        <f t="shared" si="0"/>
        <v>2.4103888888888227</v>
      </c>
      <c r="BQ6" s="38">
        <f t="shared" si="0"/>
        <v>2.3773698630136333</v>
      </c>
      <c r="BR6" s="38">
        <f t="shared" si="0"/>
        <v>2.3452432432431789</v>
      </c>
      <c r="BS6" s="38">
        <f t="shared" si="0"/>
        <v>2.3139733333332697</v>
      </c>
      <c r="BT6" s="38">
        <f t="shared" si="0"/>
        <v>2.2835263157894108</v>
      </c>
      <c r="BU6" s="38">
        <f t="shared" si="0"/>
        <v>2.2538701298700681</v>
      </c>
      <c r="BV6" s="38">
        <f t="shared" si="0"/>
        <v>2.2249743589742979</v>
      </c>
      <c r="BW6" s="38">
        <f t="shared" si="0"/>
        <v>2.1968101265822182</v>
      </c>
      <c r="BX6" s="38">
        <f t="shared" si="0"/>
        <v>2.1693499999999402</v>
      </c>
      <c r="BY6" s="38">
        <f t="shared" si="0"/>
        <v>2.1425679012345089</v>
      </c>
      <c r="BZ6" s="38">
        <f t="shared" si="0"/>
        <v>2.1164390243901856</v>
      </c>
      <c r="CA6" s="38">
        <f t="shared" si="0"/>
        <v>2.090939759036087</v>
      </c>
      <c r="CB6" s="38">
        <f t="shared" si="0"/>
        <v>2.0660476190475623</v>
      </c>
      <c r="CC6" s="38">
        <f t="shared" ref="CC6:CL6" si="1">+$P$4/CC5</f>
        <v>2.041741176470532</v>
      </c>
      <c r="CD6" s="38">
        <f t="shared" si="1"/>
        <v>2.0179999999999443</v>
      </c>
      <c r="CE6" s="41">
        <f t="shared" si="1"/>
        <v>1.9948045977010946</v>
      </c>
      <c r="CF6" s="38">
        <f t="shared" si="1"/>
        <v>1.9721363636363094</v>
      </c>
      <c r="CG6" s="38">
        <f t="shared" si="1"/>
        <v>1.9499775280898339</v>
      </c>
      <c r="CH6" s="38">
        <f t="shared" si="1"/>
        <v>1.928311111111058</v>
      </c>
      <c r="CI6" s="38">
        <f t="shared" si="1"/>
        <v>1.9071208791208267</v>
      </c>
      <c r="CJ6" s="38">
        <f t="shared" si="1"/>
        <v>1.8863913043477742</v>
      </c>
      <c r="CK6" s="38">
        <f t="shared" si="1"/>
        <v>1.8661075268816691</v>
      </c>
      <c r="CL6" s="38">
        <f t="shared" si="1"/>
        <v>1.8462553191488853</v>
      </c>
    </row>
    <row r="7" spans="1:90" s="38" customFormat="1" ht="12.95" customHeight="1">
      <c r="A7" s="38" t="s">
        <v>2</v>
      </c>
      <c r="C7" s="38">
        <f>+C4</f>
        <v>26024.325000000001</v>
      </c>
      <c r="O7" s="38" t="s">
        <v>41</v>
      </c>
      <c r="P7" s="38">
        <v>3.8608049368401378</v>
      </c>
      <c r="Q7" s="38">
        <v>7.7261822465463847</v>
      </c>
      <c r="R7" s="38">
        <v>9.8135863717004472</v>
      </c>
      <c r="S7" s="38">
        <v>7.6320060834404035</v>
      </c>
      <c r="T7" s="38">
        <v>2.2833171746703576</v>
      </c>
      <c r="U7" s="38">
        <v>7.8267864426460516</v>
      </c>
      <c r="V7" s="38">
        <v>4.228317664515953</v>
      </c>
      <c r="W7" s="38">
        <v>8.9744946819648259</v>
      </c>
      <c r="X7" s="38">
        <v>6.5246257363191207</v>
      </c>
      <c r="Y7" s="38">
        <v>2.3098324892434277</v>
      </c>
      <c r="Z7" s="38">
        <v>3.8737044541173971</v>
      </c>
      <c r="AA7" s="38">
        <v>5.2040653417520177</v>
      </c>
      <c r="AB7" s="38">
        <v>3.0404842386153228</v>
      </c>
      <c r="AC7" s="38">
        <v>3.3241595971942504</v>
      </c>
      <c r="AD7" s="38">
        <v>3.535255546635498</v>
      </c>
      <c r="AE7" s="38">
        <v>2.7390106477601064</v>
      </c>
      <c r="AF7" s="38">
        <v>2.0605636335872446</v>
      </c>
      <c r="AG7" s="38">
        <v>4.9651976031716751</v>
      </c>
      <c r="AH7" s="38">
        <v>3.8502446798082826</v>
      </c>
      <c r="AI7" s="38">
        <v>1.6320077838162974</v>
      </c>
      <c r="AJ7" s="38">
        <v>1.7216431517292277</v>
      </c>
      <c r="AK7" s="41">
        <v>2.7263598977194574</v>
      </c>
      <c r="AL7" s="38">
        <v>2.7436694001977471</v>
      </c>
      <c r="AM7" s="38">
        <v>0.95934967556468131</v>
      </c>
      <c r="AN7" s="38">
        <v>1.4136121640604853</v>
      </c>
      <c r="AO7" s="38">
        <v>1.230034740236186</v>
      </c>
      <c r="AP7" s="38">
        <v>1.2078899071968539</v>
      </c>
      <c r="AQ7" s="38">
        <v>1.712034635023767</v>
      </c>
      <c r="AR7" s="38">
        <v>1.5062526246736807</v>
      </c>
      <c r="AS7" s="41">
        <v>1.4900255688800328</v>
      </c>
      <c r="AT7" s="41">
        <v>1.0924777192894102</v>
      </c>
      <c r="AU7" s="38">
        <v>1.7471801774514895</v>
      </c>
      <c r="AV7" s="38">
        <v>3.0503296555584063</v>
      </c>
      <c r="AW7" s="38">
        <v>1.9137023756171472</v>
      </c>
      <c r="AX7" s="38">
        <v>2.2760635691588003</v>
      </c>
      <c r="AY7" s="38">
        <v>1.0362749728866354</v>
      </c>
      <c r="AZ7" s="38">
        <v>1.2125970125282122</v>
      </c>
      <c r="BA7" s="38">
        <v>1.5016520721716788</v>
      </c>
      <c r="BB7" s="38">
        <v>0.39746217738617862</v>
      </c>
      <c r="BC7" s="38">
        <v>0.4749010446249135</v>
      </c>
      <c r="BD7" s="38">
        <v>0.80815283378891145</v>
      </c>
      <c r="BE7" s="38">
        <v>0.83102984417993708</v>
      </c>
      <c r="BF7" s="38">
        <v>1.5147368931678618</v>
      </c>
      <c r="BG7" s="38">
        <v>0.64384571316392403</v>
      </c>
      <c r="BH7" s="38">
        <v>0.65300947671490583</v>
      </c>
      <c r="BI7" s="38">
        <v>0.75226854805151278</v>
      </c>
      <c r="BJ7" s="38">
        <v>0.61072714550729112</v>
      </c>
      <c r="BK7" s="38">
        <v>0.99381731475415913</v>
      </c>
      <c r="BL7" s="38">
        <v>0.96570395228028583</v>
      </c>
      <c r="BM7" s="38">
        <v>0.68662334831462601</v>
      </c>
      <c r="BN7" s="38">
        <v>1.1050215481608041</v>
      </c>
      <c r="BO7" s="38">
        <v>0.80581203106337296</v>
      </c>
      <c r="BP7" s="38">
        <v>0.83150616636032948</v>
      </c>
      <c r="BQ7" s="38">
        <v>0.70492574495253724</v>
      </c>
      <c r="BR7" s="38">
        <v>0.42740960126767591</v>
      </c>
      <c r="BS7" s="38">
        <v>0.70427649007631121</v>
      </c>
      <c r="BT7" s="38">
        <v>0.49010213227728566</v>
      </c>
      <c r="BU7" s="38">
        <v>0.74319045853323484</v>
      </c>
      <c r="BV7" s="38">
        <v>0.20640272722959527</v>
      </c>
      <c r="BW7" s="38">
        <v>0.15842315621193559</v>
      </c>
      <c r="BX7" s="38">
        <v>0.87724460997439324</v>
      </c>
      <c r="BY7" s="38">
        <v>0.68610143388016309</v>
      </c>
      <c r="BZ7" s="38">
        <v>0.44224968352398175</v>
      </c>
      <c r="CA7" s="38">
        <v>0.93273400344837065</v>
      </c>
      <c r="CB7" s="38">
        <v>0.360417982692946</v>
      </c>
      <c r="CC7" s="38">
        <v>0.44516682287792836</v>
      </c>
      <c r="CD7" s="38">
        <v>0.88985520091502757</v>
      </c>
      <c r="CE7" s="38">
        <v>0.54371412671469932</v>
      </c>
      <c r="CF7" s="38">
        <v>0.61297782086098873</v>
      </c>
      <c r="CG7" s="38">
        <v>0.44368446703582598</v>
      </c>
      <c r="CH7" s="38">
        <v>0.74725937275814602</v>
      </c>
      <c r="CI7" s="38">
        <v>0.70863732171866511</v>
      </c>
      <c r="CJ7" s="38">
        <v>0.37767859373119822</v>
      </c>
      <c r="CK7" s="38">
        <v>0.56833594668322651</v>
      </c>
      <c r="CL7" s="38">
        <v>0.12817543632745643</v>
      </c>
    </row>
    <row r="8" spans="1:90" s="38" customFormat="1" ht="12.95" customHeight="1">
      <c r="A8" s="38" t="s">
        <v>3</v>
      </c>
      <c r="C8" s="38">
        <v>4.3316549999999996</v>
      </c>
    </row>
    <row r="9" spans="1:90" s="38" customFormat="1" ht="12.95" customHeight="1">
      <c r="A9" s="46" t="s">
        <v>56</v>
      </c>
      <c r="B9" s="47">
        <v>37</v>
      </c>
      <c r="C9" s="48" t="str">
        <f>"F"&amp;B9</f>
        <v>F37</v>
      </c>
      <c r="D9" s="49" t="str">
        <f>"G"&amp;B9</f>
        <v>G37</v>
      </c>
    </row>
    <row r="10" spans="1:90" s="38" customFormat="1" ht="12.95" customHeight="1" thickBot="1">
      <c r="C10" s="50" t="s">
        <v>20</v>
      </c>
      <c r="D10" s="50" t="s">
        <v>21</v>
      </c>
    </row>
    <row r="11" spans="1:90" s="38" customFormat="1" ht="12.95" customHeight="1">
      <c r="A11" s="38" t="s">
        <v>16</v>
      </c>
      <c r="C11" s="49">
        <f ca="1">INTERCEPT(INDIRECT($D$9):G992,INDIRECT($C$9):F992)</f>
        <v>0.15589015540939971</v>
      </c>
      <c r="D11" s="51"/>
    </row>
    <row r="12" spans="1:90" s="38" customFormat="1" ht="12.95" customHeight="1">
      <c r="A12" s="38" t="s">
        <v>17</v>
      </c>
      <c r="C12" s="49">
        <f ca="1">SLOPE(INDIRECT($D$9):G992,INDIRECT($C$9):F992)</f>
        <v>-1.3663707811339511E-5</v>
      </c>
      <c r="D12" s="51"/>
    </row>
    <row r="13" spans="1:90" s="38" customFormat="1" ht="12.95" customHeight="1">
      <c r="A13" s="38" t="s">
        <v>19</v>
      </c>
      <c r="C13" s="51" t="s">
        <v>14</v>
      </c>
    </row>
    <row r="14" spans="1:90" s="38" customFormat="1" ht="12.95" customHeight="1"/>
    <row r="15" spans="1:90" s="38" customFormat="1" ht="12.95" customHeight="1">
      <c r="A15" s="52" t="s">
        <v>18</v>
      </c>
      <c r="C15" s="53">
        <f ca="1">(C7+C11)+(C8+C12)*INT(MAX(F21:F3533))</f>
        <v>59222.18009149874</v>
      </c>
      <c r="E15" s="54" t="s">
        <v>58</v>
      </c>
      <c r="F15" s="45">
        <v>1</v>
      </c>
    </row>
    <row r="16" spans="1:90" s="38" customFormat="1" ht="12.95" customHeight="1">
      <c r="A16" s="41" t="s">
        <v>4</v>
      </c>
      <c r="C16" s="55">
        <f ca="1">+C8+C12</f>
        <v>4.3316413362921882</v>
      </c>
      <c r="E16" s="54" t="s">
        <v>50</v>
      </c>
      <c r="F16" s="56">
        <f ca="1">NOW()+15018.5+$C$5/24</f>
        <v>60358.836675115737</v>
      </c>
    </row>
    <row r="17" spans="1:19" s="38" customFormat="1" ht="12.95" customHeight="1" thickBot="1">
      <c r="A17" s="54" t="s">
        <v>52</v>
      </c>
      <c r="C17" s="38">
        <f>COUNT(C21:C2191)</f>
        <v>35</v>
      </c>
      <c r="E17" s="54" t="s">
        <v>59</v>
      </c>
      <c r="F17" s="56">
        <f ca="1">ROUND(2*(F16-$C$7)/$C$8,0)/2+F15</f>
        <v>7927.5</v>
      </c>
    </row>
    <row r="18" spans="1:19" s="38" customFormat="1" ht="12.95" customHeight="1" thickTop="1" thickBot="1">
      <c r="A18" s="41" t="s">
        <v>5</v>
      </c>
      <c r="C18" s="42">
        <f ca="1">+C15</f>
        <v>59222.18009149874</v>
      </c>
      <c r="D18" s="43">
        <f ca="1">+C16</f>
        <v>4.3316413362921882</v>
      </c>
      <c r="E18" s="54" t="s">
        <v>51</v>
      </c>
      <c r="F18" s="49">
        <f ca="1">ROUND(2*(F16-$C$15)/$C$16,0)/2+F15</f>
        <v>263.5</v>
      </c>
    </row>
    <row r="19" spans="1:19" s="38" customFormat="1" ht="12.95" customHeight="1" thickTop="1">
      <c r="E19" s="54" t="s">
        <v>53</v>
      </c>
      <c r="F19" s="57">
        <f ca="1">+$C$15+$C$16*F18-15018.5-$C$5/24</f>
        <v>45345.463416945066</v>
      </c>
    </row>
    <row r="20" spans="1:19" s="38" customFormat="1" ht="12.95" customHeight="1" thickBot="1">
      <c r="A20" s="50" t="s">
        <v>6</v>
      </c>
      <c r="B20" s="50" t="s">
        <v>7</v>
      </c>
      <c r="C20" s="50" t="s">
        <v>8</v>
      </c>
      <c r="D20" s="50" t="s">
        <v>13</v>
      </c>
      <c r="E20" s="50" t="s">
        <v>9</v>
      </c>
      <c r="F20" s="50" t="s">
        <v>10</v>
      </c>
      <c r="G20" s="50" t="s">
        <v>11</v>
      </c>
      <c r="H20" s="58" t="s">
        <v>12</v>
      </c>
      <c r="I20" s="58" t="s">
        <v>35</v>
      </c>
      <c r="J20" s="58" t="s">
        <v>36</v>
      </c>
      <c r="K20" s="58" t="s">
        <v>37</v>
      </c>
      <c r="L20" s="58" t="s">
        <v>63</v>
      </c>
      <c r="M20" s="58" t="s">
        <v>226</v>
      </c>
      <c r="N20" s="58" t="s">
        <v>28</v>
      </c>
      <c r="O20" s="58" t="s">
        <v>23</v>
      </c>
      <c r="P20" s="59" t="s">
        <v>22</v>
      </c>
      <c r="Q20" s="50" t="s">
        <v>15</v>
      </c>
    </row>
    <row r="21" spans="1:19" s="38" customFormat="1" ht="12.95" customHeight="1">
      <c r="A21" s="38" t="s">
        <v>12</v>
      </c>
      <c r="C21" s="60">
        <v>26024.325000000001</v>
      </c>
      <c r="D21" s="60" t="s">
        <v>14</v>
      </c>
      <c r="E21" s="38">
        <f t="shared" ref="E21:E53" si="2">+(C21-C$7)/C$8</f>
        <v>0</v>
      </c>
      <c r="F21" s="38">
        <f t="shared" ref="F21:F54" si="3">ROUND(2*E21,0)/2</f>
        <v>0</v>
      </c>
      <c r="G21" s="38">
        <f t="shared" ref="G21:G53" si="4">+C21-(C$7+F21*C$8)</f>
        <v>0</v>
      </c>
      <c r="H21" s="38">
        <f>+G21</f>
        <v>0</v>
      </c>
      <c r="Q21" s="61">
        <f t="shared" ref="Q21:Q53" si="5">+C21-15018.5</f>
        <v>11005.825000000001</v>
      </c>
      <c r="R21" s="38">
        <f>+(O21-G21)^2</f>
        <v>0</v>
      </c>
      <c r="S21" s="38">
        <f>SQRT(R21)</f>
        <v>0</v>
      </c>
    </row>
    <row r="22" spans="1:19" s="38" customFormat="1" ht="12.95" customHeight="1">
      <c r="A22" s="62" t="s">
        <v>82</v>
      </c>
      <c r="B22" s="63" t="s">
        <v>45</v>
      </c>
      <c r="C22" s="80">
        <v>26024.329000000002</v>
      </c>
      <c r="D22" s="64"/>
      <c r="E22" s="38">
        <f t="shared" si="2"/>
        <v>9.2343457657983097E-4</v>
      </c>
      <c r="F22" s="38">
        <f t="shared" si="3"/>
        <v>0</v>
      </c>
      <c r="G22" s="38">
        <f t="shared" si="4"/>
        <v>4.0000000008149073E-3</v>
      </c>
      <c r="H22" s="64"/>
      <c r="I22" s="65"/>
      <c r="J22" s="51"/>
      <c r="M22" s="38">
        <f t="shared" ref="M22:M31" si="6">G22</f>
        <v>4.0000000008149073E-3</v>
      </c>
      <c r="Q22" s="61">
        <f t="shared" si="5"/>
        <v>11005.829000000002</v>
      </c>
    </row>
    <row r="23" spans="1:19" s="38" customFormat="1" ht="12.95" customHeight="1">
      <c r="A23" s="62" t="s">
        <v>82</v>
      </c>
      <c r="B23" s="63" t="s">
        <v>45</v>
      </c>
      <c r="C23" s="80">
        <v>26769.368999999999</v>
      </c>
      <c r="D23" s="64"/>
      <c r="E23" s="38">
        <f t="shared" si="2"/>
        <v>171.99984763329445</v>
      </c>
      <c r="F23" s="38">
        <f t="shared" si="3"/>
        <v>172</v>
      </c>
      <c r="G23" s="38">
        <f t="shared" si="4"/>
        <v>-6.6000000151689164E-4</v>
      </c>
      <c r="H23" s="64"/>
      <c r="I23" s="65"/>
      <c r="J23" s="51"/>
      <c r="M23" s="38">
        <f t="shared" si="6"/>
        <v>-6.6000000151689164E-4</v>
      </c>
      <c r="Q23" s="61">
        <f t="shared" si="5"/>
        <v>11750.868999999999</v>
      </c>
    </row>
    <row r="24" spans="1:19" s="38" customFormat="1" ht="12.95" customHeight="1">
      <c r="A24" s="62" t="s">
        <v>82</v>
      </c>
      <c r="B24" s="63" t="s">
        <v>45</v>
      </c>
      <c r="C24" s="80">
        <v>26769.391</v>
      </c>
      <c r="D24" s="64"/>
      <c r="E24" s="38">
        <f t="shared" si="2"/>
        <v>172.0049265234648</v>
      </c>
      <c r="F24" s="38">
        <f t="shared" si="3"/>
        <v>172</v>
      </c>
      <c r="G24" s="38">
        <f t="shared" si="4"/>
        <v>2.1339999999327119E-2</v>
      </c>
      <c r="H24" s="64"/>
      <c r="I24" s="65"/>
      <c r="J24" s="51"/>
      <c r="M24" s="38">
        <f t="shared" si="6"/>
        <v>2.1339999999327119E-2</v>
      </c>
      <c r="Q24" s="61">
        <f t="shared" si="5"/>
        <v>11750.891</v>
      </c>
    </row>
    <row r="25" spans="1:19" s="38" customFormat="1" ht="12.95" customHeight="1">
      <c r="A25" s="62" t="s">
        <v>82</v>
      </c>
      <c r="B25" s="63" t="s">
        <v>45</v>
      </c>
      <c r="C25" s="80">
        <v>26808.335999999999</v>
      </c>
      <c r="D25" s="64"/>
      <c r="E25" s="38">
        <f t="shared" si="2"/>
        <v>180.99571641785846</v>
      </c>
      <c r="F25" s="38">
        <f t="shared" si="3"/>
        <v>181</v>
      </c>
      <c r="G25" s="38">
        <f t="shared" si="4"/>
        <v>-1.8555000002379529E-2</v>
      </c>
      <c r="H25" s="64"/>
      <c r="I25" s="65"/>
      <c r="J25" s="51"/>
      <c r="M25" s="38">
        <f t="shared" si="6"/>
        <v>-1.8555000002379529E-2</v>
      </c>
      <c r="Q25" s="61">
        <f t="shared" si="5"/>
        <v>11789.835999999999</v>
      </c>
    </row>
    <row r="26" spans="1:19" s="38" customFormat="1" ht="12.95" customHeight="1">
      <c r="A26" s="62" t="s">
        <v>82</v>
      </c>
      <c r="B26" s="63" t="s">
        <v>45</v>
      </c>
      <c r="C26" s="80">
        <v>27449.465</v>
      </c>
      <c r="D26" s="64"/>
      <c r="E26" s="38">
        <f t="shared" si="2"/>
        <v>329.00588804971761</v>
      </c>
      <c r="F26" s="38">
        <f t="shared" si="3"/>
        <v>329</v>
      </c>
      <c r="G26" s="38">
        <f t="shared" si="4"/>
        <v>2.5505000001430744E-2</v>
      </c>
      <c r="H26" s="64"/>
      <c r="I26" s="65"/>
      <c r="J26" s="51"/>
      <c r="M26" s="38">
        <f t="shared" si="6"/>
        <v>2.5505000001430744E-2</v>
      </c>
      <c r="Q26" s="61">
        <f t="shared" si="5"/>
        <v>12430.965</v>
      </c>
    </row>
    <row r="27" spans="1:19" s="38" customFormat="1" ht="12.95" customHeight="1">
      <c r="A27" s="62" t="s">
        <v>82</v>
      </c>
      <c r="B27" s="63" t="s">
        <v>45</v>
      </c>
      <c r="C27" s="80">
        <v>27449.508000000002</v>
      </c>
      <c r="D27" s="64"/>
      <c r="E27" s="38">
        <f t="shared" si="2"/>
        <v>329.01581497141416</v>
      </c>
      <c r="F27" s="38">
        <f t="shared" si="3"/>
        <v>329</v>
      </c>
      <c r="G27" s="38">
        <f t="shared" si="4"/>
        <v>6.850500000291504E-2</v>
      </c>
      <c r="H27" s="64"/>
      <c r="I27" s="65"/>
      <c r="J27" s="51"/>
      <c r="M27" s="38">
        <f t="shared" si="6"/>
        <v>6.850500000291504E-2</v>
      </c>
      <c r="Q27" s="61">
        <f t="shared" si="5"/>
        <v>12431.008000000002</v>
      </c>
    </row>
    <row r="28" spans="1:19" s="38" customFormat="1" ht="12.95" customHeight="1">
      <c r="A28" s="62" t="s">
        <v>82</v>
      </c>
      <c r="B28" s="63" t="s">
        <v>45</v>
      </c>
      <c r="C28" s="80">
        <v>28636.351999999999</v>
      </c>
      <c r="D28" s="64"/>
      <c r="E28" s="38">
        <f t="shared" si="2"/>
        <v>603.00901156717202</v>
      </c>
      <c r="F28" s="38">
        <f t="shared" si="3"/>
        <v>603</v>
      </c>
      <c r="G28" s="38">
        <f t="shared" si="4"/>
        <v>3.9034999997966224E-2</v>
      </c>
      <c r="H28" s="64"/>
      <c r="I28" s="65"/>
      <c r="J28" s="51"/>
      <c r="M28" s="38">
        <f t="shared" si="6"/>
        <v>3.9034999997966224E-2</v>
      </c>
      <c r="Q28" s="61">
        <f t="shared" si="5"/>
        <v>13617.851999999999</v>
      </c>
    </row>
    <row r="29" spans="1:19" s="38" customFormat="1" ht="12.95" customHeight="1">
      <c r="A29" s="62" t="s">
        <v>82</v>
      </c>
      <c r="B29" s="63" t="s">
        <v>45</v>
      </c>
      <c r="C29" s="80">
        <v>28835.531999999999</v>
      </c>
      <c r="D29" s="64"/>
      <c r="E29" s="38">
        <f t="shared" si="2"/>
        <v>648.99143629859691</v>
      </c>
      <c r="F29" s="38">
        <f t="shared" si="3"/>
        <v>649</v>
      </c>
      <c r="G29" s="38">
        <f t="shared" si="4"/>
        <v>-3.7094999999681022E-2</v>
      </c>
      <c r="H29" s="64"/>
      <c r="I29" s="65"/>
      <c r="J29" s="51"/>
      <c r="M29" s="38">
        <f t="shared" si="6"/>
        <v>-3.7094999999681022E-2</v>
      </c>
      <c r="Q29" s="61">
        <f t="shared" si="5"/>
        <v>13817.031999999999</v>
      </c>
    </row>
    <row r="30" spans="1:19" s="38" customFormat="1" ht="12.95" customHeight="1">
      <c r="A30" s="62" t="s">
        <v>82</v>
      </c>
      <c r="B30" s="63" t="s">
        <v>45</v>
      </c>
      <c r="C30" s="80">
        <v>29303.392</v>
      </c>
      <c r="D30" s="64"/>
      <c r="E30" s="38">
        <f t="shared" si="2"/>
        <v>757.00096152625258</v>
      </c>
      <c r="F30" s="38">
        <f t="shared" si="3"/>
        <v>757</v>
      </c>
      <c r="G30" s="38">
        <f t="shared" si="4"/>
        <v>4.1649999984656461E-3</v>
      </c>
      <c r="H30" s="64"/>
      <c r="I30" s="65"/>
      <c r="J30" s="51"/>
      <c r="M30" s="38">
        <f t="shared" si="6"/>
        <v>4.1649999984656461E-3</v>
      </c>
      <c r="Q30" s="61">
        <f t="shared" si="5"/>
        <v>14284.892</v>
      </c>
    </row>
    <row r="31" spans="1:19" s="38" customFormat="1" ht="12.95" customHeight="1">
      <c r="A31" s="62" t="s">
        <v>110</v>
      </c>
      <c r="B31" s="63" t="s">
        <v>45</v>
      </c>
      <c r="C31" s="80">
        <v>34445.214</v>
      </c>
      <c r="D31" s="64"/>
      <c r="E31" s="38">
        <f t="shared" si="2"/>
        <v>1944.0350166391368</v>
      </c>
      <c r="F31" s="38">
        <f t="shared" si="3"/>
        <v>1944</v>
      </c>
      <c r="G31" s="38">
        <f t="shared" si="4"/>
        <v>0.15168000000267057</v>
      </c>
      <c r="H31" s="64"/>
      <c r="I31" s="65"/>
      <c r="J31" s="51"/>
      <c r="M31" s="38">
        <f t="shared" si="6"/>
        <v>0.15168000000267057</v>
      </c>
      <c r="Q31" s="61">
        <f t="shared" si="5"/>
        <v>19426.714</v>
      </c>
    </row>
    <row r="32" spans="1:19" s="38" customFormat="1" ht="12.95" customHeight="1">
      <c r="A32" s="38" t="s">
        <v>31</v>
      </c>
      <c r="C32" s="60">
        <v>35922.233999999997</v>
      </c>
      <c r="D32" s="60"/>
      <c r="E32" s="38">
        <f t="shared" si="2"/>
        <v>2285.0178511446543</v>
      </c>
      <c r="F32" s="38">
        <f t="shared" si="3"/>
        <v>2285</v>
      </c>
      <c r="G32" s="38">
        <f t="shared" si="4"/>
        <v>7.7324999998381827E-2</v>
      </c>
      <c r="N32" s="38">
        <f>G32</f>
        <v>7.7324999998381827E-2</v>
      </c>
      <c r="Q32" s="61">
        <f t="shared" si="5"/>
        <v>20903.733999999997</v>
      </c>
      <c r="R32" s="38">
        <f t="shared" ref="R32:R38" si="7">+(O32-G32)^2</f>
        <v>5.9791556247497492E-3</v>
      </c>
      <c r="S32" s="38">
        <f t="shared" ref="S32:S38" si="8">SQRT(R32)</f>
        <v>7.7324999998381827E-2</v>
      </c>
    </row>
    <row r="33" spans="1:19" s="38" customFormat="1" ht="12.95" customHeight="1">
      <c r="A33" s="38" t="s">
        <v>32</v>
      </c>
      <c r="C33" s="60">
        <v>36541.595000000001</v>
      </c>
      <c r="D33" s="60"/>
      <c r="E33" s="38">
        <f t="shared" si="2"/>
        <v>2428.0026918117906</v>
      </c>
      <c r="F33" s="38">
        <f t="shared" si="3"/>
        <v>2428</v>
      </c>
      <c r="G33" s="38">
        <f t="shared" si="4"/>
        <v>1.1660000003757887E-2</v>
      </c>
      <c r="N33" s="38">
        <f>G33</f>
        <v>1.1660000003757887E-2</v>
      </c>
      <c r="Q33" s="61">
        <f t="shared" si="5"/>
        <v>21523.095000000001</v>
      </c>
      <c r="R33" s="38">
        <f t="shared" si="7"/>
        <v>1.359556000876339E-4</v>
      </c>
      <c r="S33" s="38">
        <f t="shared" si="8"/>
        <v>1.1660000003757887E-2</v>
      </c>
    </row>
    <row r="34" spans="1:19" s="38" customFormat="1" ht="12.95" customHeight="1">
      <c r="A34" s="38" t="s">
        <v>32</v>
      </c>
      <c r="C34" s="60">
        <v>36628.368999999999</v>
      </c>
      <c r="D34" s="60"/>
      <c r="E34" s="38">
        <f t="shared" si="2"/>
        <v>2448.0352197947432</v>
      </c>
      <c r="F34" s="38">
        <f t="shared" si="3"/>
        <v>2448</v>
      </c>
      <c r="G34" s="38">
        <f t="shared" si="4"/>
        <v>0.15255999999499181</v>
      </c>
      <c r="N34" s="38">
        <f>G34</f>
        <v>0.15255999999499181</v>
      </c>
      <c r="Q34" s="61">
        <f t="shared" si="5"/>
        <v>21609.868999999999</v>
      </c>
      <c r="R34" s="38">
        <f t="shared" si="7"/>
        <v>2.32745535984719E-2</v>
      </c>
      <c r="S34" s="66">
        <f t="shared" si="8"/>
        <v>0.15255999999499181</v>
      </c>
    </row>
    <row r="35" spans="1:19" s="38" customFormat="1" ht="12.95" customHeight="1">
      <c r="A35" s="38" t="s">
        <v>33</v>
      </c>
      <c r="C35" s="60">
        <v>45001.3</v>
      </c>
      <c r="D35" s="60"/>
      <c r="E35" s="38">
        <f t="shared" si="2"/>
        <v>4380.9987175802326</v>
      </c>
      <c r="F35" s="38">
        <f t="shared" si="3"/>
        <v>4381</v>
      </c>
      <c r="G35" s="38">
        <f t="shared" si="4"/>
        <v>-5.5549999960931018E-3</v>
      </c>
      <c r="I35" s="38">
        <f>G35</f>
        <v>-5.5549999960931018E-3</v>
      </c>
      <c r="Q35" s="61">
        <f t="shared" si="5"/>
        <v>29982.800000000003</v>
      </c>
      <c r="R35" s="38">
        <f t="shared" si="7"/>
        <v>3.0858024956594362E-5</v>
      </c>
      <c r="S35" s="38">
        <f t="shared" si="8"/>
        <v>5.5549999960931018E-3</v>
      </c>
    </row>
    <row r="36" spans="1:19" s="38" customFormat="1" ht="12.95" customHeight="1">
      <c r="A36" s="38" t="s">
        <v>38</v>
      </c>
      <c r="C36" s="60">
        <v>48986.4931</v>
      </c>
      <c r="D36" s="60"/>
      <c r="E36" s="38">
        <f t="shared" si="2"/>
        <v>5301.0149931146416</v>
      </c>
      <c r="F36" s="38">
        <f t="shared" si="3"/>
        <v>5301</v>
      </c>
      <c r="G36" s="38">
        <f t="shared" si="4"/>
        <v>6.4944999998260755E-2</v>
      </c>
      <c r="K36" s="38">
        <f>G36</f>
        <v>6.4944999998260755E-2</v>
      </c>
      <c r="O36" s="38">
        <f t="shared" ref="O36:O53" ca="1" si="9">+C$11+C$12*F36</f>
        <v>8.3458840301488965E-2</v>
      </c>
      <c r="Q36" s="61">
        <f t="shared" si="5"/>
        <v>33967.9931</v>
      </c>
      <c r="R36" s="38">
        <f t="shared" ca="1" si="7"/>
        <v>3.4276228277343724E-4</v>
      </c>
      <c r="S36" s="38">
        <f t="shared" ca="1" si="8"/>
        <v>1.851384030322821E-2</v>
      </c>
    </row>
    <row r="37" spans="1:19" s="38" customFormat="1" ht="12.95" customHeight="1">
      <c r="A37" s="38" t="s">
        <v>34</v>
      </c>
      <c r="C37" s="60">
        <v>49809.52</v>
      </c>
      <c r="D37" s="60"/>
      <c r="E37" s="38">
        <f t="shared" si="2"/>
        <v>5491.0178673047594</v>
      </c>
      <c r="F37" s="38">
        <f t="shared" si="3"/>
        <v>5491</v>
      </c>
      <c r="G37" s="38">
        <f t="shared" si="4"/>
        <v>7.7394999992975499E-2</v>
      </c>
      <c r="J37" s="38">
        <f>G37</f>
        <v>7.7394999992975499E-2</v>
      </c>
      <c r="O37" s="38">
        <f t="shared" ca="1" si="9"/>
        <v>8.0862735817334455E-2</v>
      </c>
      <c r="Q37" s="61">
        <f t="shared" si="5"/>
        <v>34791.019999999997</v>
      </c>
      <c r="R37" s="38">
        <f t="shared" ca="1" si="7"/>
        <v>1.2025191747542485E-5</v>
      </c>
      <c r="S37" s="38">
        <f t="shared" ca="1" si="8"/>
        <v>3.4677358243589557E-3</v>
      </c>
    </row>
    <row r="38" spans="1:19" s="38" customFormat="1" ht="12.95" customHeight="1">
      <c r="A38" s="67" t="s">
        <v>30</v>
      </c>
      <c r="B38" s="21"/>
      <c r="C38" s="21">
        <v>52369.5219</v>
      </c>
      <c r="D38" s="21">
        <v>5.0000000000000001E-4</v>
      </c>
      <c r="E38" s="38">
        <f t="shared" si="2"/>
        <v>6082.0164348268736</v>
      </c>
      <c r="F38" s="38">
        <f t="shared" si="3"/>
        <v>6082</v>
      </c>
      <c r="G38" s="38">
        <f t="shared" si="4"/>
        <v>7.1190000002388842E-2</v>
      </c>
      <c r="H38" s="64"/>
      <c r="I38" s="51"/>
      <c r="J38" s="51"/>
      <c r="K38" s="38">
        <f>G38</f>
        <v>7.1190000002388842E-2</v>
      </c>
      <c r="O38" s="38">
        <f t="shared" ca="1" si="9"/>
        <v>7.2787484500832805E-2</v>
      </c>
      <c r="Q38" s="61">
        <f t="shared" si="5"/>
        <v>37351.0219</v>
      </c>
      <c r="R38" s="38">
        <f t="shared" ca="1" si="7"/>
        <v>2.5519567227687597E-6</v>
      </c>
      <c r="S38" s="38">
        <f t="shared" ca="1" si="8"/>
        <v>1.5974844984439629E-3</v>
      </c>
    </row>
    <row r="39" spans="1:19" s="38" customFormat="1" ht="12.95" customHeight="1">
      <c r="A39" s="62" t="s">
        <v>147</v>
      </c>
      <c r="B39" s="63" t="s">
        <v>45</v>
      </c>
      <c r="C39" s="80">
        <v>52720.427000000003</v>
      </c>
      <c r="D39" s="64"/>
      <c r="E39" s="38">
        <f t="shared" si="2"/>
        <v>6163.0259104199213</v>
      </c>
      <c r="F39" s="38">
        <f t="shared" si="3"/>
        <v>6163</v>
      </c>
      <c r="G39" s="38">
        <f t="shared" si="4"/>
        <v>0.1122350000005099</v>
      </c>
      <c r="H39" s="64"/>
      <c r="I39" s="65"/>
      <c r="J39" s="51"/>
      <c r="M39" s="38">
        <f>G39</f>
        <v>0.1122350000005099</v>
      </c>
      <c r="O39" s="38">
        <f t="shared" ca="1" si="9"/>
        <v>7.1680724168114301E-2</v>
      </c>
      <c r="Q39" s="61">
        <f t="shared" si="5"/>
        <v>37701.927000000003</v>
      </c>
    </row>
    <row r="40" spans="1:19" s="38" customFormat="1" ht="12.95" customHeight="1">
      <c r="A40" s="67" t="s">
        <v>30</v>
      </c>
      <c r="B40" s="68"/>
      <c r="C40" s="21">
        <v>52746.368699999999</v>
      </c>
      <c r="D40" s="21">
        <v>2.0000000000000001E-4</v>
      </c>
      <c r="E40" s="38">
        <f t="shared" si="2"/>
        <v>6169.0147761075159</v>
      </c>
      <c r="F40" s="38">
        <f t="shared" si="3"/>
        <v>6169</v>
      </c>
      <c r="G40" s="38">
        <f t="shared" si="4"/>
        <v>6.400500000017928E-2</v>
      </c>
      <c r="H40" s="64"/>
      <c r="I40" s="65"/>
      <c r="J40" s="51"/>
      <c r="K40" s="38">
        <f>G40</f>
        <v>6.400500000017928E-2</v>
      </c>
      <c r="O40" s="38">
        <f t="shared" ca="1" si="9"/>
        <v>7.1598741921246267E-2</v>
      </c>
      <c r="Q40" s="61">
        <f t="shared" si="5"/>
        <v>37727.868699999999</v>
      </c>
      <c r="R40" s="38">
        <f ca="1">+(O40-G40)^2</f>
        <v>5.7664916363770145E-5</v>
      </c>
      <c r="S40" s="38">
        <f ca="1">SQRT(R40)</f>
        <v>7.5937419210669876E-3</v>
      </c>
    </row>
    <row r="41" spans="1:19" s="38" customFormat="1" ht="12.95" customHeight="1">
      <c r="A41" s="21" t="s">
        <v>54</v>
      </c>
      <c r="B41" s="69"/>
      <c r="C41" s="21">
        <v>54210.468500000003</v>
      </c>
      <c r="D41" s="21">
        <v>4.0000000000000002E-4</v>
      </c>
      <c r="E41" s="38">
        <f t="shared" si="2"/>
        <v>6507.0148707595608</v>
      </c>
      <c r="F41" s="38">
        <f t="shared" si="3"/>
        <v>6507</v>
      </c>
      <c r="G41" s="38">
        <f t="shared" si="4"/>
        <v>6.4415000000735745E-2</v>
      </c>
      <c r="H41" s="64"/>
      <c r="I41" s="65"/>
      <c r="J41" s="51"/>
      <c r="K41" s="38">
        <f>G41</f>
        <v>6.4415000000735745E-2</v>
      </c>
      <c r="O41" s="38">
        <f t="shared" ca="1" si="9"/>
        <v>6.6980408681013515E-2</v>
      </c>
      <c r="Q41" s="61">
        <f t="shared" si="5"/>
        <v>39191.968500000003</v>
      </c>
    </row>
    <row r="42" spans="1:19" s="38" customFormat="1" ht="12.95" customHeight="1">
      <c r="A42" s="62" t="s">
        <v>165</v>
      </c>
      <c r="B42" s="63" t="s">
        <v>45</v>
      </c>
      <c r="C42" s="80">
        <v>54457.366699999999</v>
      </c>
      <c r="D42" s="64"/>
      <c r="E42" s="38">
        <f t="shared" si="2"/>
        <v>6564.0134544417779</v>
      </c>
      <c r="F42" s="38">
        <f t="shared" si="3"/>
        <v>6564</v>
      </c>
      <c r="G42" s="38">
        <f t="shared" si="4"/>
        <v>5.8279999997466803E-2</v>
      </c>
      <c r="H42" s="64"/>
      <c r="I42" s="65"/>
      <c r="J42" s="51"/>
      <c r="M42" s="38">
        <f>G42</f>
        <v>5.8279999997466803E-2</v>
      </c>
      <c r="O42" s="38">
        <f t="shared" ca="1" si="9"/>
        <v>6.6201577335767162E-2</v>
      </c>
      <c r="Q42" s="61">
        <f t="shared" si="5"/>
        <v>39438.866699999999</v>
      </c>
    </row>
    <row r="43" spans="1:19" s="38" customFormat="1" ht="12.95" customHeight="1">
      <c r="A43" s="62" t="s">
        <v>165</v>
      </c>
      <c r="B43" s="63" t="s">
        <v>45</v>
      </c>
      <c r="C43" s="80">
        <v>54509.347199999997</v>
      </c>
      <c r="D43" s="64"/>
      <c r="E43" s="38">
        <f t="shared" si="2"/>
        <v>6576.0136021913095</v>
      </c>
      <c r="F43" s="38">
        <f t="shared" si="3"/>
        <v>6576</v>
      </c>
      <c r="G43" s="38">
        <f t="shared" si="4"/>
        <v>5.8920000003126916E-2</v>
      </c>
      <c r="H43" s="64"/>
      <c r="I43" s="65"/>
      <c r="J43" s="51"/>
      <c r="M43" s="38">
        <f>G43</f>
        <v>5.8920000003126916E-2</v>
      </c>
      <c r="O43" s="38">
        <f t="shared" ca="1" si="9"/>
        <v>6.6037612842031093E-2</v>
      </c>
      <c r="Q43" s="61">
        <f t="shared" si="5"/>
        <v>39490.847199999997</v>
      </c>
    </row>
    <row r="44" spans="1:19" s="38" customFormat="1" ht="12.95" customHeight="1">
      <c r="A44" s="70" t="s">
        <v>57</v>
      </c>
      <c r="B44" s="22" t="s">
        <v>45</v>
      </c>
      <c r="C44" s="70">
        <v>54829.892099999997</v>
      </c>
      <c r="D44" s="70">
        <v>5.9999999999999995E-4</v>
      </c>
      <c r="E44" s="38">
        <f t="shared" si="2"/>
        <v>6650.0141631778151</v>
      </c>
      <c r="F44" s="38">
        <f t="shared" si="3"/>
        <v>6650</v>
      </c>
      <c r="G44" s="38">
        <f t="shared" si="4"/>
        <v>6.1350000003585592E-2</v>
      </c>
      <c r="H44" s="64"/>
      <c r="I44" s="65"/>
      <c r="J44" s="51"/>
      <c r="K44" s="38">
        <f>G44</f>
        <v>6.1350000003585592E-2</v>
      </c>
      <c r="O44" s="38">
        <f t="shared" ca="1" si="9"/>
        <v>6.5026498463991958E-2</v>
      </c>
      <c r="Q44" s="61">
        <f t="shared" si="5"/>
        <v>39811.392099999997</v>
      </c>
    </row>
    <row r="45" spans="1:19" s="38" customFormat="1" ht="12.95" customHeight="1">
      <c r="A45" s="21" t="s">
        <v>60</v>
      </c>
      <c r="B45" s="22" t="s">
        <v>45</v>
      </c>
      <c r="C45" s="21">
        <v>55280.381200000003</v>
      </c>
      <c r="D45" s="21">
        <v>3.8999999999999998E-3</v>
      </c>
      <c r="E45" s="38">
        <f t="shared" si="2"/>
        <v>6754.0134659847117</v>
      </c>
      <c r="F45" s="38">
        <f t="shared" si="3"/>
        <v>6754</v>
      </c>
      <c r="G45" s="38">
        <f t="shared" si="4"/>
        <v>5.8330000007117633E-2</v>
      </c>
      <c r="H45" s="64"/>
      <c r="I45" s="65"/>
      <c r="J45" s="51"/>
      <c r="K45" s="38">
        <f>G45</f>
        <v>5.8330000007117633E-2</v>
      </c>
      <c r="O45" s="38">
        <f t="shared" ca="1" si="9"/>
        <v>6.3605472851612652E-2</v>
      </c>
      <c r="Q45" s="61">
        <f t="shared" si="5"/>
        <v>40261.881200000003</v>
      </c>
    </row>
    <row r="46" spans="1:19" s="38" customFormat="1" ht="12.95" customHeight="1">
      <c r="A46" s="21" t="s">
        <v>60</v>
      </c>
      <c r="B46" s="22" t="s">
        <v>45</v>
      </c>
      <c r="C46" s="21">
        <v>55306.375500000002</v>
      </c>
      <c r="D46" s="21">
        <v>5.7000000000000002E-3</v>
      </c>
      <c r="E46" s="38">
        <f t="shared" si="2"/>
        <v>6760.0144748369858</v>
      </c>
      <c r="F46" s="38">
        <f t="shared" si="3"/>
        <v>6760</v>
      </c>
      <c r="G46" s="38">
        <f t="shared" si="4"/>
        <v>6.2700000002223533E-2</v>
      </c>
      <c r="H46" s="64"/>
      <c r="I46" s="65"/>
      <c r="J46" s="51"/>
      <c r="K46" s="38">
        <f>G46</f>
        <v>6.2700000002223533E-2</v>
      </c>
      <c r="O46" s="38">
        <f t="shared" ca="1" si="9"/>
        <v>6.3523490604744617E-2</v>
      </c>
      <c r="Q46" s="61">
        <f t="shared" si="5"/>
        <v>40287.875500000002</v>
      </c>
    </row>
    <row r="47" spans="1:19" s="38" customFormat="1" ht="12.95" customHeight="1">
      <c r="A47" s="62" t="s">
        <v>191</v>
      </c>
      <c r="B47" s="63" t="s">
        <v>45</v>
      </c>
      <c r="C47" s="80">
        <v>55956.119899999998</v>
      </c>
      <c r="D47" s="64"/>
      <c r="E47" s="38">
        <f t="shared" si="2"/>
        <v>6910.0135860312048</v>
      </c>
      <c r="F47" s="38">
        <f t="shared" si="3"/>
        <v>6910</v>
      </c>
      <c r="G47" s="38">
        <f t="shared" si="4"/>
        <v>5.8850000001257285E-2</v>
      </c>
      <c r="H47" s="64"/>
      <c r="I47" s="65"/>
      <c r="J47" s="51"/>
      <c r="M47" s="38">
        <f>G47</f>
        <v>5.8850000001257285E-2</v>
      </c>
      <c r="O47" s="38">
        <f t="shared" ca="1" si="9"/>
        <v>6.1473934433043692E-2</v>
      </c>
      <c r="Q47" s="61">
        <f t="shared" si="5"/>
        <v>40937.619899999998</v>
      </c>
    </row>
    <row r="48" spans="1:19" s="38" customFormat="1" ht="12.95" customHeight="1">
      <c r="A48" s="71" t="s">
        <v>61</v>
      </c>
      <c r="B48" s="72" t="s">
        <v>45</v>
      </c>
      <c r="C48" s="73">
        <v>56012.4326</v>
      </c>
      <c r="D48" s="73">
        <v>4.4000000000000003E-3</v>
      </c>
      <c r="E48" s="38">
        <f t="shared" si="2"/>
        <v>6923.0138595986991</v>
      </c>
      <c r="F48" s="38">
        <f t="shared" si="3"/>
        <v>6923</v>
      </c>
      <c r="G48" s="38">
        <f t="shared" si="4"/>
        <v>6.0035000002244487E-2</v>
      </c>
      <c r="H48" s="64"/>
      <c r="I48" s="65"/>
      <c r="J48" s="51"/>
      <c r="K48" s="38">
        <f>G48</f>
        <v>6.0035000002244487E-2</v>
      </c>
      <c r="O48" s="38">
        <f t="shared" ca="1" si="9"/>
        <v>6.1296306231496275E-2</v>
      </c>
      <c r="Q48" s="61">
        <f t="shared" si="5"/>
        <v>40993.9326</v>
      </c>
    </row>
    <row r="49" spans="1:17" s="38" customFormat="1" ht="12.95" customHeight="1">
      <c r="A49" s="71" t="s">
        <v>62</v>
      </c>
      <c r="B49" s="72" t="s">
        <v>45</v>
      </c>
      <c r="C49" s="73">
        <v>56246.337440000003</v>
      </c>
      <c r="D49" s="73">
        <v>4.0000000000000002E-4</v>
      </c>
      <c r="E49" s="38">
        <f t="shared" si="2"/>
        <v>6977.0128138090422</v>
      </c>
      <c r="F49" s="38">
        <f t="shared" si="3"/>
        <v>6977</v>
      </c>
      <c r="G49" s="38">
        <f t="shared" si="4"/>
        <v>5.550500000390457E-2</v>
      </c>
      <c r="H49" s="64"/>
      <c r="I49" s="65"/>
      <c r="J49" s="51"/>
      <c r="L49" s="38">
        <f>G49</f>
        <v>5.550500000390457E-2</v>
      </c>
      <c r="O49" s="38">
        <f t="shared" ca="1" si="9"/>
        <v>6.0558466009683939E-2</v>
      </c>
      <c r="Q49" s="61">
        <f t="shared" si="5"/>
        <v>41227.837440000003</v>
      </c>
    </row>
    <row r="50" spans="1:17" s="38" customFormat="1" ht="12.95" customHeight="1">
      <c r="A50" s="62" t="s">
        <v>209</v>
      </c>
      <c r="B50" s="63" t="s">
        <v>45</v>
      </c>
      <c r="C50" s="80">
        <v>56649.183400000002</v>
      </c>
      <c r="D50" s="64"/>
      <c r="E50" s="38">
        <f t="shared" si="2"/>
        <v>7070.0132859149689</v>
      </c>
      <c r="F50" s="38">
        <f t="shared" si="3"/>
        <v>7070</v>
      </c>
      <c r="G50" s="38">
        <f t="shared" si="4"/>
        <v>5.7550000004994217E-2</v>
      </c>
      <c r="H50" s="64"/>
      <c r="I50" s="65"/>
      <c r="J50" s="51"/>
      <c r="M50" s="38">
        <f>G50</f>
        <v>5.7550000004994217E-2</v>
      </c>
      <c r="O50" s="38">
        <f t="shared" ca="1" si="9"/>
        <v>5.9287741183229367E-2</v>
      </c>
      <c r="Q50" s="61">
        <f t="shared" si="5"/>
        <v>41630.683400000002</v>
      </c>
    </row>
    <row r="51" spans="1:17" s="38" customFormat="1" ht="12.95" customHeight="1">
      <c r="A51" s="74" t="s">
        <v>64</v>
      </c>
      <c r="B51" s="75" t="s">
        <v>45</v>
      </c>
      <c r="C51" s="74">
        <v>56731.483399999997</v>
      </c>
      <c r="D51" s="74">
        <v>8.6E-3</v>
      </c>
      <c r="E51" s="38">
        <f t="shared" si="2"/>
        <v>7089.0129523242267</v>
      </c>
      <c r="F51" s="38">
        <f t="shared" si="3"/>
        <v>7089</v>
      </c>
      <c r="G51" s="38">
        <f t="shared" si="4"/>
        <v>5.6104999996023253E-2</v>
      </c>
      <c r="H51" s="64"/>
      <c r="I51" s="65"/>
      <c r="J51" s="51"/>
      <c r="K51" s="38">
        <f>G51</f>
        <v>5.6104999996023253E-2</v>
      </c>
      <c r="O51" s="38">
        <f t="shared" ca="1" si="9"/>
        <v>5.9028130734813916E-2</v>
      </c>
      <c r="Q51" s="61">
        <f t="shared" si="5"/>
        <v>41712.983399999997</v>
      </c>
    </row>
    <row r="52" spans="1:17" s="38" customFormat="1" ht="12.95" customHeight="1">
      <c r="A52" s="74" t="s">
        <v>64</v>
      </c>
      <c r="B52" s="75" t="s">
        <v>45</v>
      </c>
      <c r="C52" s="74">
        <v>56744.481</v>
      </c>
      <c r="D52" s="74">
        <v>1.6999999999999999E-3</v>
      </c>
      <c r="E52" s="38">
        <f t="shared" si="2"/>
        <v>7092.0135606367548</v>
      </c>
      <c r="F52" s="38">
        <f t="shared" si="3"/>
        <v>7092</v>
      </c>
      <c r="G52" s="38">
        <f t="shared" si="4"/>
        <v>5.874000000039814E-2</v>
      </c>
      <c r="H52" s="64"/>
      <c r="I52" s="65"/>
      <c r="J52" s="51"/>
      <c r="K52" s="38">
        <f>G52</f>
        <v>5.874000000039814E-2</v>
      </c>
      <c r="O52" s="38">
        <f t="shared" ca="1" si="9"/>
        <v>5.8987139611379899E-2</v>
      </c>
      <c r="Q52" s="61">
        <f t="shared" si="5"/>
        <v>41725.981</v>
      </c>
    </row>
    <row r="53" spans="1:17" s="38" customFormat="1" ht="12.95" customHeight="1">
      <c r="A53" s="74" t="s">
        <v>65</v>
      </c>
      <c r="B53" s="76"/>
      <c r="C53" s="74">
        <v>57069.350400000003</v>
      </c>
      <c r="D53" s="74">
        <v>7.9000000000000008E-3</v>
      </c>
      <c r="E53" s="38">
        <f t="shared" si="2"/>
        <v>7167.0124698296622</v>
      </c>
      <c r="F53" s="38">
        <f t="shared" si="3"/>
        <v>7167</v>
      </c>
      <c r="G53" s="38">
        <f t="shared" si="4"/>
        <v>5.4015000008803327E-2</v>
      </c>
      <c r="H53" s="64"/>
      <c r="I53" s="65"/>
      <c r="J53" s="51"/>
      <c r="K53" s="38">
        <f>G53</f>
        <v>5.4015000008803327E-2</v>
      </c>
      <c r="O53" s="38">
        <f t="shared" ca="1" si="9"/>
        <v>5.7962361525529429E-2</v>
      </c>
      <c r="Q53" s="61">
        <f t="shared" si="5"/>
        <v>42050.850400000003</v>
      </c>
    </row>
    <row r="54" spans="1:17" s="38" customFormat="1" ht="12.95" customHeight="1">
      <c r="A54" s="77" t="s">
        <v>224</v>
      </c>
      <c r="B54" s="78" t="s">
        <v>45</v>
      </c>
      <c r="C54" s="79">
        <v>58503.130299999997</v>
      </c>
      <c r="D54" s="79" t="s">
        <v>207</v>
      </c>
      <c r="E54" s="38">
        <f>+(C54-C$7)/C$8</f>
        <v>7498.0129534785201</v>
      </c>
      <c r="F54" s="38">
        <f t="shared" si="3"/>
        <v>7498</v>
      </c>
      <c r="G54" s="38">
        <f>+C54-(C$7+F54*C$8)</f>
        <v>5.6109999997715931E-2</v>
      </c>
      <c r="H54" s="64"/>
      <c r="I54" s="65"/>
      <c r="J54" s="51"/>
      <c r="M54" s="38">
        <f>G54</f>
        <v>5.6109999997715931E-2</v>
      </c>
      <c r="O54" s="38">
        <f ca="1">+C$11+C$12*F54</f>
        <v>5.3439674239976059E-2</v>
      </c>
      <c r="Q54" s="61">
        <f>+C54-15018.5</f>
        <v>43484.630299999997</v>
      </c>
    </row>
    <row r="55" spans="1:17" s="38" customFormat="1" ht="12.95" customHeight="1">
      <c r="A55" s="36" t="s">
        <v>225</v>
      </c>
      <c r="B55" s="37" t="s">
        <v>45</v>
      </c>
      <c r="C55" s="81">
        <v>59222.194699999876</v>
      </c>
      <c r="D55" s="82" t="s">
        <v>75</v>
      </c>
      <c r="E55" s="38">
        <f>+(C55-C$7)/C$8</f>
        <v>7664.0151858815816</v>
      </c>
      <c r="F55" s="38">
        <f t="shared" ref="F55" si="10">ROUND(2*E55,0)/2</f>
        <v>7664</v>
      </c>
      <c r="G55" s="38">
        <f>+C55-(C$7+F55*C$8)</f>
        <v>6.5779999873484485E-2</v>
      </c>
      <c r="H55" s="64"/>
      <c r="I55" s="65"/>
      <c r="J55" s="51"/>
      <c r="M55" s="38">
        <f>G55</f>
        <v>6.5779999873484485E-2</v>
      </c>
      <c r="O55" s="38">
        <f ca="1">+C$11+C$12*F55</f>
        <v>5.11714987432937E-2</v>
      </c>
      <c r="Q55" s="61">
        <f>+C55-15018.5</f>
        <v>44203.694699999876</v>
      </c>
    </row>
    <row r="56" spans="1:17" s="38" customFormat="1" ht="12.95" customHeight="1">
      <c r="B56" s="51"/>
      <c r="C56" s="64"/>
      <c r="D56" s="64"/>
    </row>
    <row r="57" spans="1:17" s="38" customFormat="1" ht="12.95" customHeight="1">
      <c r="B57" s="51"/>
      <c r="C57" s="64"/>
      <c r="D57" s="64"/>
    </row>
    <row r="58" spans="1:17" s="38" customFormat="1" ht="12.95" customHeight="1">
      <c r="B58" s="51"/>
    </row>
    <row r="59" spans="1:17" s="38" customFormat="1" ht="12.95" customHeight="1">
      <c r="B59" s="51"/>
    </row>
    <row r="60" spans="1:17" s="38" customFormat="1" ht="12.95" customHeight="1">
      <c r="B60" s="51"/>
    </row>
    <row r="61" spans="1:17" s="38" customFormat="1" ht="12.95" customHeight="1">
      <c r="B61" s="51"/>
    </row>
    <row r="62" spans="1:17" s="38" customFormat="1" ht="12.95" customHeight="1">
      <c r="B62" s="51"/>
    </row>
    <row r="63" spans="1:17" s="38" customFormat="1" ht="12.95" customHeight="1">
      <c r="B63" s="51"/>
    </row>
    <row r="64" spans="1:17" s="38" customFormat="1" ht="12.95" customHeight="1">
      <c r="B64" s="51"/>
    </row>
    <row r="65" spans="2:2">
      <c r="B65" s="6"/>
    </row>
  </sheetData>
  <protectedRanges>
    <protectedRange sqref="A54:D54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6"/>
  <sheetViews>
    <sheetView workbookViewId="0">
      <selection activeCell="A28" sqref="A28:C42"/>
    </sheetView>
  </sheetViews>
  <sheetFormatPr defaultRowHeight="12.75"/>
  <cols>
    <col min="1" max="1" width="19.7109375" style="11" customWidth="1"/>
    <col min="2" max="2" width="4.42578125" style="20" customWidth="1"/>
    <col min="3" max="3" width="12.7109375" style="11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1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23" t="s">
        <v>66</v>
      </c>
      <c r="I1" s="24" t="s">
        <v>67</v>
      </c>
      <c r="J1" s="25" t="s">
        <v>68</v>
      </c>
    </row>
    <row r="2" spans="1:16">
      <c r="I2" s="26" t="s">
        <v>69</v>
      </c>
      <c r="J2" s="27" t="s">
        <v>70</v>
      </c>
    </row>
    <row r="3" spans="1:16">
      <c r="A3" s="28" t="s">
        <v>71</v>
      </c>
      <c r="I3" s="26" t="s">
        <v>72</v>
      </c>
      <c r="J3" s="27" t="s">
        <v>73</v>
      </c>
    </row>
    <row r="4" spans="1:16">
      <c r="I4" s="26" t="s">
        <v>74</v>
      </c>
      <c r="J4" s="27" t="s">
        <v>73</v>
      </c>
    </row>
    <row r="5" spans="1:16" ht="13.5" thickBot="1">
      <c r="I5" s="29" t="s">
        <v>75</v>
      </c>
      <c r="J5" s="30" t="s">
        <v>76</v>
      </c>
    </row>
    <row r="10" spans="1:16" ht="13.5" thickBot="1"/>
    <row r="11" spans="1:16" ht="12.75" customHeight="1" thickBot="1">
      <c r="A11" s="11" t="str">
        <f t="shared" ref="A11:A42" si="0">P11</f>
        <v> AC 215.21 </v>
      </c>
      <c r="B11" s="6" t="str">
        <f t="shared" ref="B11:B42" si="1">IF(H11=INT(H11),"I","II")</f>
        <v>I</v>
      </c>
      <c r="C11" s="11">
        <f t="shared" ref="C11:C42" si="2">1*G11</f>
        <v>35922.233999999997</v>
      </c>
      <c r="D11" s="20" t="str">
        <f t="shared" ref="D11:D42" si="3">VLOOKUP(F11,I$1:J$5,2,FALSE)</f>
        <v>vis</v>
      </c>
      <c r="E11" s="31">
        <f>VLOOKUP(C11,Active!C$21:E$973,3,FALSE)</f>
        <v>2285.0178511446543</v>
      </c>
      <c r="F11" s="6" t="s">
        <v>75</v>
      </c>
      <c r="G11" s="20" t="str">
        <f t="shared" ref="G11:G42" si="4">MID(I11,3,LEN(I11)-3)</f>
        <v>35922.234</v>
      </c>
      <c r="H11" s="11">
        <f t="shared" ref="H11:H42" si="5">1*K11</f>
        <v>2285</v>
      </c>
      <c r="I11" s="32" t="s">
        <v>111</v>
      </c>
      <c r="J11" s="33" t="s">
        <v>112</v>
      </c>
      <c r="K11" s="32">
        <v>2285</v>
      </c>
      <c r="L11" s="32" t="s">
        <v>113</v>
      </c>
      <c r="M11" s="33" t="s">
        <v>80</v>
      </c>
      <c r="N11" s="33"/>
      <c r="O11" s="34" t="s">
        <v>109</v>
      </c>
      <c r="P11" s="34" t="s">
        <v>110</v>
      </c>
    </row>
    <row r="12" spans="1:16" ht="12.75" customHeight="1" thickBot="1">
      <c r="A12" s="11" t="str">
        <f t="shared" si="0"/>
        <v> VB 5.6 </v>
      </c>
      <c r="B12" s="6" t="str">
        <f t="shared" si="1"/>
        <v>I</v>
      </c>
      <c r="C12" s="11">
        <f t="shared" si="2"/>
        <v>36541.595000000001</v>
      </c>
      <c r="D12" s="20" t="str">
        <f t="shared" si="3"/>
        <v>vis</v>
      </c>
      <c r="E12" s="31">
        <f>VLOOKUP(C12,Active!C$21:E$973,3,FALSE)</f>
        <v>2428.0026918117906</v>
      </c>
      <c r="F12" s="6" t="s">
        <v>75</v>
      </c>
      <c r="G12" s="20" t="str">
        <f t="shared" si="4"/>
        <v>36541.595</v>
      </c>
      <c r="H12" s="11">
        <f t="shared" si="5"/>
        <v>2428</v>
      </c>
      <c r="I12" s="32" t="s">
        <v>114</v>
      </c>
      <c r="J12" s="33" t="s">
        <v>115</v>
      </c>
      <c r="K12" s="32">
        <v>2428</v>
      </c>
      <c r="L12" s="32" t="s">
        <v>116</v>
      </c>
      <c r="M12" s="33" t="s">
        <v>80</v>
      </c>
      <c r="N12" s="33"/>
      <c r="O12" s="34" t="s">
        <v>81</v>
      </c>
      <c r="P12" s="34" t="s">
        <v>82</v>
      </c>
    </row>
    <row r="13" spans="1:16" ht="12.75" customHeight="1" thickBot="1">
      <c r="A13" s="11" t="str">
        <f t="shared" si="0"/>
        <v> VB 5.6 </v>
      </c>
      <c r="B13" s="6" t="str">
        <f t="shared" si="1"/>
        <v>I</v>
      </c>
      <c r="C13" s="11">
        <f t="shared" si="2"/>
        <v>36628.368999999999</v>
      </c>
      <c r="D13" s="20" t="str">
        <f t="shared" si="3"/>
        <v>vis</v>
      </c>
      <c r="E13" s="31">
        <f>VLOOKUP(C13,Active!C$21:E$973,3,FALSE)</f>
        <v>2448.0352197947432</v>
      </c>
      <c r="F13" s="6" t="s">
        <v>75</v>
      </c>
      <c r="G13" s="20" t="str">
        <f t="shared" si="4"/>
        <v>36628.369</v>
      </c>
      <c r="H13" s="11">
        <f t="shared" si="5"/>
        <v>2448</v>
      </c>
      <c r="I13" s="32" t="s">
        <v>117</v>
      </c>
      <c r="J13" s="33" t="s">
        <v>118</v>
      </c>
      <c r="K13" s="32">
        <v>2448</v>
      </c>
      <c r="L13" s="32" t="s">
        <v>119</v>
      </c>
      <c r="M13" s="33" t="s">
        <v>80</v>
      </c>
      <c r="N13" s="33"/>
      <c r="O13" s="34" t="s">
        <v>81</v>
      </c>
      <c r="P13" s="34" t="s">
        <v>82</v>
      </c>
    </row>
    <row r="14" spans="1:16" ht="12.75" customHeight="1" thickBot="1">
      <c r="A14" s="11" t="str">
        <f t="shared" si="0"/>
        <v>BAVM 34 </v>
      </c>
      <c r="B14" s="6" t="str">
        <f t="shared" si="1"/>
        <v>I</v>
      </c>
      <c r="C14" s="11">
        <f t="shared" si="2"/>
        <v>45001.3</v>
      </c>
      <c r="D14" s="20" t="str">
        <f t="shared" si="3"/>
        <v>vis</v>
      </c>
      <c r="E14" s="31">
        <f>VLOOKUP(C14,Active!C$21:E$973,3,FALSE)</f>
        <v>4380.9987175802326</v>
      </c>
      <c r="F14" s="6" t="s">
        <v>75</v>
      </c>
      <c r="G14" s="20" t="str">
        <f t="shared" si="4"/>
        <v>45001.300</v>
      </c>
      <c r="H14" s="11">
        <f t="shared" si="5"/>
        <v>4381</v>
      </c>
      <c r="I14" s="32" t="s">
        <v>120</v>
      </c>
      <c r="J14" s="33" t="s">
        <v>121</v>
      </c>
      <c r="K14" s="32">
        <v>4381</v>
      </c>
      <c r="L14" s="32" t="s">
        <v>122</v>
      </c>
      <c r="M14" s="33" t="s">
        <v>123</v>
      </c>
      <c r="N14" s="33"/>
      <c r="O14" s="34" t="s">
        <v>124</v>
      </c>
      <c r="P14" s="35" t="s">
        <v>125</v>
      </c>
    </row>
    <row r="15" spans="1:16" ht="12.75" customHeight="1" thickBot="1">
      <c r="A15" s="11" t="str">
        <f t="shared" si="0"/>
        <v>BAVM 80 </v>
      </c>
      <c r="B15" s="6" t="str">
        <f t="shared" si="1"/>
        <v>I</v>
      </c>
      <c r="C15" s="11">
        <f t="shared" si="2"/>
        <v>48986.4931</v>
      </c>
      <c r="D15" s="20" t="str">
        <f t="shared" si="3"/>
        <v>vis</v>
      </c>
      <c r="E15" s="31">
        <f>VLOOKUP(C15,Active!C$21:E$973,3,FALSE)</f>
        <v>5301.0149931146416</v>
      </c>
      <c r="F15" s="6" t="s">
        <v>75</v>
      </c>
      <c r="G15" s="20" t="str">
        <f t="shared" si="4"/>
        <v>48986.4931</v>
      </c>
      <c r="H15" s="11">
        <f t="shared" si="5"/>
        <v>5301</v>
      </c>
      <c r="I15" s="32" t="s">
        <v>126</v>
      </c>
      <c r="J15" s="33" t="s">
        <v>127</v>
      </c>
      <c r="K15" s="32">
        <v>5301</v>
      </c>
      <c r="L15" s="32" t="s">
        <v>128</v>
      </c>
      <c r="M15" s="33" t="s">
        <v>129</v>
      </c>
      <c r="N15" s="33" t="s">
        <v>75</v>
      </c>
      <c r="O15" s="34" t="s">
        <v>130</v>
      </c>
      <c r="P15" s="35" t="s">
        <v>131</v>
      </c>
    </row>
    <row r="16" spans="1:16" ht="12.75" customHeight="1" thickBot="1">
      <c r="A16" s="11" t="str">
        <f t="shared" si="0"/>
        <v> BBS 109 </v>
      </c>
      <c r="B16" s="6" t="str">
        <f t="shared" si="1"/>
        <v>I</v>
      </c>
      <c r="C16" s="11">
        <f t="shared" si="2"/>
        <v>49809.52</v>
      </c>
      <c r="D16" s="20" t="str">
        <f t="shared" si="3"/>
        <v>vis</v>
      </c>
      <c r="E16" s="31">
        <f>VLOOKUP(C16,Active!C$21:E$973,3,FALSE)</f>
        <v>5491.0178673047594</v>
      </c>
      <c r="F16" s="6" t="s">
        <v>75</v>
      </c>
      <c r="G16" s="20" t="str">
        <f t="shared" si="4"/>
        <v>49809.520</v>
      </c>
      <c r="H16" s="11">
        <f t="shared" si="5"/>
        <v>5491</v>
      </c>
      <c r="I16" s="32" t="s">
        <v>132</v>
      </c>
      <c r="J16" s="33" t="s">
        <v>133</v>
      </c>
      <c r="K16" s="32">
        <v>5491</v>
      </c>
      <c r="L16" s="32" t="s">
        <v>113</v>
      </c>
      <c r="M16" s="33" t="s">
        <v>123</v>
      </c>
      <c r="N16" s="33"/>
      <c r="O16" s="34" t="s">
        <v>134</v>
      </c>
      <c r="P16" s="34" t="s">
        <v>135</v>
      </c>
    </row>
    <row r="17" spans="1:16" ht="12.75" customHeight="1" thickBot="1">
      <c r="A17" s="11" t="str">
        <f t="shared" si="0"/>
        <v>BAVM 158 </v>
      </c>
      <c r="B17" s="6" t="str">
        <f t="shared" si="1"/>
        <v>I</v>
      </c>
      <c r="C17" s="11">
        <f t="shared" si="2"/>
        <v>52369.5219</v>
      </c>
      <c r="D17" s="20" t="str">
        <f t="shared" si="3"/>
        <v>vis</v>
      </c>
      <c r="E17" s="31">
        <f>VLOOKUP(C17,Active!C$21:E$973,3,FALSE)</f>
        <v>6082.0164348268736</v>
      </c>
      <c r="F17" s="6" t="s">
        <v>75</v>
      </c>
      <c r="G17" s="20" t="str">
        <f t="shared" si="4"/>
        <v>52369.5219</v>
      </c>
      <c r="H17" s="11">
        <f t="shared" si="5"/>
        <v>6082</v>
      </c>
      <c r="I17" s="32" t="s">
        <v>136</v>
      </c>
      <c r="J17" s="33" t="s">
        <v>137</v>
      </c>
      <c r="K17" s="32">
        <v>6082</v>
      </c>
      <c r="L17" s="32" t="s">
        <v>138</v>
      </c>
      <c r="M17" s="33" t="s">
        <v>129</v>
      </c>
      <c r="N17" s="33" t="s">
        <v>139</v>
      </c>
      <c r="O17" s="34" t="s">
        <v>140</v>
      </c>
      <c r="P17" s="35" t="s">
        <v>141</v>
      </c>
    </row>
    <row r="18" spans="1:16" ht="12.75" customHeight="1" thickBot="1">
      <c r="A18" s="11" t="str">
        <f t="shared" si="0"/>
        <v>BAVM 158 </v>
      </c>
      <c r="B18" s="6" t="str">
        <f t="shared" si="1"/>
        <v>I</v>
      </c>
      <c r="C18" s="11">
        <f t="shared" si="2"/>
        <v>52746.368699999999</v>
      </c>
      <c r="D18" s="20" t="str">
        <f t="shared" si="3"/>
        <v>vis</v>
      </c>
      <c r="E18" s="31">
        <f>VLOOKUP(C18,Active!C$21:E$973,3,FALSE)</f>
        <v>6169.0147761075159</v>
      </c>
      <c r="F18" s="6" t="s">
        <v>75</v>
      </c>
      <c r="G18" s="20" t="str">
        <f t="shared" si="4"/>
        <v>52746.3687</v>
      </c>
      <c r="H18" s="11">
        <f t="shared" si="5"/>
        <v>6169</v>
      </c>
      <c r="I18" s="32" t="s">
        <v>148</v>
      </c>
      <c r="J18" s="33" t="s">
        <v>149</v>
      </c>
      <c r="K18" s="32" t="s">
        <v>150</v>
      </c>
      <c r="L18" s="32" t="s">
        <v>151</v>
      </c>
      <c r="M18" s="33" t="s">
        <v>129</v>
      </c>
      <c r="N18" s="33" t="s">
        <v>152</v>
      </c>
      <c r="O18" s="34" t="s">
        <v>153</v>
      </c>
      <c r="P18" s="35" t="s">
        <v>141</v>
      </c>
    </row>
    <row r="19" spans="1:16" ht="12.75" customHeight="1" thickBot="1">
      <c r="A19" s="11" t="str">
        <f t="shared" si="0"/>
        <v>BAVM 186 </v>
      </c>
      <c r="B19" s="6" t="str">
        <f t="shared" si="1"/>
        <v>I</v>
      </c>
      <c r="C19" s="11">
        <f t="shared" si="2"/>
        <v>54210.468500000003</v>
      </c>
      <c r="D19" s="20" t="str">
        <f t="shared" si="3"/>
        <v>vis</v>
      </c>
      <c r="E19" s="31">
        <f>VLOOKUP(C19,Active!C$21:E$973,3,FALSE)</f>
        <v>6507.0148707595608</v>
      </c>
      <c r="F19" s="6" t="s">
        <v>75</v>
      </c>
      <c r="G19" s="20" t="str">
        <f t="shared" si="4"/>
        <v>54210.4685</v>
      </c>
      <c r="H19" s="11">
        <f t="shared" si="5"/>
        <v>6507</v>
      </c>
      <c r="I19" s="32" t="s">
        <v>154</v>
      </c>
      <c r="J19" s="33" t="s">
        <v>155</v>
      </c>
      <c r="K19" s="32" t="s">
        <v>156</v>
      </c>
      <c r="L19" s="32" t="s">
        <v>157</v>
      </c>
      <c r="M19" s="33" t="s">
        <v>158</v>
      </c>
      <c r="N19" s="33" t="s">
        <v>139</v>
      </c>
      <c r="O19" s="34" t="s">
        <v>140</v>
      </c>
      <c r="P19" s="35" t="s">
        <v>159</v>
      </c>
    </row>
    <row r="20" spans="1:16" ht="12.75" customHeight="1" thickBot="1">
      <c r="A20" s="11" t="str">
        <f t="shared" si="0"/>
        <v>IBVS 5871 </v>
      </c>
      <c r="B20" s="6" t="str">
        <f t="shared" si="1"/>
        <v>I</v>
      </c>
      <c r="C20" s="11">
        <f t="shared" si="2"/>
        <v>54829.892099999997</v>
      </c>
      <c r="D20" s="20" t="str">
        <f t="shared" si="3"/>
        <v>vis</v>
      </c>
      <c r="E20" s="31">
        <f>VLOOKUP(C20,Active!C$21:E$973,3,FALSE)</f>
        <v>6650.0141631778151</v>
      </c>
      <c r="F20" s="6" t="s">
        <v>75</v>
      </c>
      <c r="G20" s="20" t="str">
        <f t="shared" si="4"/>
        <v>54829.8921</v>
      </c>
      <c r="H20" s="11">
        <f t="shared" si="5"/>
        <v>6650</v>
      </c>
      <c r="I20" s="32" t="s">
        <v>171</v>
      </c>
      <c r="J20" s="33" t="s">
        <v>172</v>
      </c>
      <c r="K20" s="32" t="s">
        <v>173</v>
      </c>
      <c r="L20" s="32" t="s">
        <v>174</v>
      </c>
      <c r="M20" s="33" t="s">
        <v>158</v>
      </c>
      <c r="N20" s="33" t="s">
        <v>75</v>
      </c>
      <c r="O20" s="34" t="s">
        <v>175</v>
      </c>
      <c r="P20" s="35" t="s">
        <v>176</v>
      </c>
    </row>
    <row r="21" spans="1:16" ht="12.75" customHeight="1" thickBot="1">
      <c r="A21" s="11" t="str">
        <f t="shared" si="0"/>
        <v>BAVM 214 </v>
      </c>
      <c r="B21" s="6" t="str">
        <f t="shared" si="1"/>
        <v>I</v>
      </c>
      <c r="C21" s="11">
        <f t="shared" si="2"/>
        <v>55280.381200000003</v>
      </c>
      <c r="D21" s="20" t="str">
        <f t="shared" si="3"/>
        <v>vis</v>
      </c>
      <c r="E21" s="31">
        <f>VLOOKUP(C21,Active!C$21:E$973,3,FALSE)</f>
        <v>6754.0134659847117</v>
      </c>
      <c r="F21" s="6" t="s">
        <v>75</v>
      </c>
      <c r="G21" s="20" t="str">
        <f t="shared" si="4"/>
        <v>55280.3812</v>
      </c>
      <c r="H21" s="11">
        <f t="shared" si="5"/>
        <v>6754</v>
      </c>
      <c r="I21" s="32" t="s">
        <v>177</v>
      </c>
      <c r="J21" s="33" t="s">
        <v>178</v>
      </c>
      <c r="K21" s="32" t="s">
        <v>179</v>
      </c>
      <c r="L21" s="32" t="s">
        <v>163</v>
      </c>
      <c r="M21" s="33" t="s">
        <v>158</v>
      </c>
      <c r="N21" s="33" t="s">
        <v>75</v>
      </c>
      <c r="O21" s="34" t="s">
        <v>140</v>
      </c>
      <c r="P21" s="35" t="s">
        <v>180</v>
      </c>
    </row>
    <row r="22" spans="1:16" ht="12.75" customHeight="1" thickBot="1">
      <c r="A22" s="11" t="str">
        <f t="shared" si="0"/>
        <v>BAVM 214 </v>
      </c>
      <c r="B22" s="6" t="str">
        <f t="shared" si="1"/>
        <v>I</v>
      </c>
      <c r="C22" s="11">
        <f t="shared" si="2"/>
        <v>55306.375500000002</v>
      </c>
      <c r="D22" s="20" t="str">
        <f t="shared" si="3"/>
        <v>vis</v>
      </c>
      <c r="E22" s="31">
        <f>VLOOKUP(C22,Active!C$21:E$973,3,FALSE)</f>
        <v>6760.0144748369858</v>
      </c>
      <c r="F22" s="6" t="s">
        <v>75</v>
      </c>
      <c r="G22" s="20" t="str">
        <f t="shared" si="4"/>
        <v>55306.3755</v>
      </c>
      <c r="H22" s="11">
        <f t="shared" si="5"/>
        <v>6760</v>
      </c>
      <c r="I22" s="32" t="s">
        <v>181</v>
      </c>
      <c r="J22" s="33" t="s">
        <v>182</v>
      </c>
      <c r="K22" s="32" t="s">
        <v>183</v>
      </c>
      <c r="L22" s="32" t="s">
        <v>184</v>
      </c>
      <c r="M22" s="33" t="s">
        <v>158</v>
      </c>
      <c r="N22" s="33" t="s">
        <v>152</v>
      </c>
      <c r="O22" s="34" t="s">
        <v>185</v>
      </c>
      <c r="P22" s="35" t="s">
        <v>180</v>
      </c>
    </row>
    <row r="23" spans="1:16" ht="12.75" customHeight="1" thickBot="1">
      <c r="A23" s="11" t="str">
        <f t="shared" si="0"/>
        <v>BAVM 228 </v>
      </c>
      <c r="B23" s="6" t="str">
        <f t="shared" si="1"/>
        <v>I</v>
      </c>
      <c r="C23" s="11">
        <f t="shared" si="2"/>
        <v>56012.4326</v>
      </c>
      <c r="D23" s="20" t="str">
        <f t="shared" si="3"/>
        <v>vis</v>
      </c>
      <c r="E23" s="31">
        <f>VLOOKUP(C23,Active!C$21:E$973,3,FALSE)</f>
        <v>6923.0138595986991</v>
      </c>
      <c r="F23" s="6" t="s">
        <v>75</v>
      </c>
      <c r="G23" s="20" t="str">
        <f t="shared" si="4"/>
        <v>56012.4326</v>
      </c>
      <c r="H23" s="11">
        <f t="shared" si="5"/>
        <v>6923</v>
      </c>
      <c r="I23" s="32" t="s">
        <v>192</v>
      </c>
      <c r="J23" s="33" t="s">
        <v>193</v>
      </c>
      <c r="K23" s="32" t="s">
        <v>194</v>
      </c>
      <c r="L23" s="32" t="s">
        <v>195</v>
      </c>
      <c r="M23" s="33" t="s">
        <v>158</v>
      </c>
      <c r="N23" s="33" t="s">
        <v>75</v>
      </c>
      <c r="O23" s="34" t="s">
        <v>140</v>
      </c>
      <c r="P23" s="35" t="s">
        <v>196</v>
      </c>
    </row>
    <row r="24" spans="1:16" ht="12.75" customHeight="1" thickBot="1">
      <c r="A24" s="11" t="str">
        <f t="shared" si="0"/>
        <v>OEJV 0160 </v>
      </c>
      <c r="B24" s="6" t="str">
        <f t="shared" si="1"/>
        <v>I</v>
      </c>
      <c r="C24" s="11">
        <f t="shared" si="2"/>
        <v>56246.337440000003</v>
      </c>
      <c r="D24" s="20" t="str">
        <f t="shared" si="3"/>
        <v>vis</v>
      </c>
      <c r="E24" s="31">
        <f>VLOOKUP(C24,Active!C$21:E$973,3,FALSE)</f>
        <v>6977.0128138090422</v>
      </c>
      <c r="F24" s="6" t="s">
        <v>75</v>
      </c>
      <c r="G24" s="20" t="str">
        <f t="shared" si="4"/>
        <v>56246.33744</v>
      </c>
      <c r="H24" s="11">
        <f t="shared" si="5"/>
        <v>6977</v>
      </c>
      <c r="I24" s="32" t="s">
        <v>197</v>
      </c>
      <c r="J24" s="33" t="s">
        <v>198</v>
      </c>
      <c r="K24" s="32" t="s">
        <v>199</v>
      </c>
      <c r="L24" s="32" t="s">
        <v>200</v>
      </c>
      <c r="M24" s="33" t="s">
        <v>158</v>
      </c>
      <c r="N24" s="33" t="s">
        <v>67</v>
      </c>
      <c r="O24" s="34" t="s">
        <v>201</v>
      </c>
      <c r="P24" s="35" t="s">
        <v>202</v>
      </c>
    </row>
    <row r="25" spans="1:16" ht="12.75" customHeight="1" thickBot="1">
      <c r="A25" s="11" t="str">
        <f t="shared" si="0"/>
        <v>BAVM 238 </v>
      </c>
      <c r="B25" s="6" t="str">
        <f t="shared" si="1"/>
        <v>I</v>
      </c>
      <c r="C25" s="11">
        <f t="shared" si="2"/>
        <v>56731.483399999997</v>
      </c>
      <c r="D25" s="20" t="str">
        <f t="shared" si="3"/>
        <v>vis</v>
      </c>
      <c r="E25" s="31">
        <f>VLOOKUP(C25,Active!C$21:E$973,3,FALSE)</f>
        <v>7089.0129523242267</v>
      </c>
      <c r="F25" s="6" t="s">
        <v>75</v>
      </c>
      <c r="G25" s="20" t="str">
        <f t="shared" si="4"/>
        <v>56731.4834</v>
      </c>
      <c r="H25" s="11">
        <f t="shared" si="5"/>
        <v>7089</v>
      </c>
      <c r="I25" s="32" t="s">
        <v>210</v>
      </c>
      <c r="J25" s="33" t="s">
        <v>211</v>
      </c>
      <c r="K25" s="32" t="s">
        <v>212</v>
      </c>
      <c r="L25" s="32" t="s">
        <v>213</v>
      </c>
      <c r="M25" s="33" t="s">
        <v>158</v>
      </c>
      <c r="N25" s="33" t="s">
        <v>139</v>
      </c>
      <c r="O25" s="34" t="s">
        <v>140</v>
      </c>
      <c r="P25" s="35" t="s">
        <v>214</v>
      </c>
    </row>
    <row r="26" spans="1:16" ht="12.75" customHeight="1" thickBot="1">
      <c r="A26" s="11" t="str">
        <f t="shared" si="0"/>
        <v>BAVM 238 </v>
      </c>
      <c r="B26" s="6" t="str">
        <f t="shared" si="1"/>
        <v>I</v>
      </c>
      <c r="C26" s="11">
        <f t="shared" si="2"/>
        <v>56744.481</v>
      </c>
      <c r="D26" s="20" t="str">
        <f t="shared" si="3"/>
        <v>vis</v>
      </c>
      <c r="E26" s="31">
        <f>VLOOKUP(C26,Active!C$21:E$973,3,FALSE)</f>
        <v>7092.0135606367548</v>
      </c>
      <c r="F26" s="6" t="s">
        <v>75</v>
      </c>
      <c r="G26" s="20" t="str">
        <f t="shared" si="4"/>
        <v>56744.4810</v>
      </c>
      <c r="H26" s="11">
        <f t="shared" si="5"/>
        <v>7092</v>
      </c>
      <c r="I26" s="32" t="s">
        <v>215</v>
      </c>
      <c r="J26" s="33" t="s">
        <v>216</v>
      </c>
      <c r="K26" s="32" t="s">
        <v>217</v>
      </c>
      <c r="L26" s="32" t="s">
        <v>218</v>
      </c>
      <c r="M26" s="33" t="s">
        <v>158</v>
      </c>
      <c r="N26" s="33" t="s">
        <v>139</v>
      </c>
      <c r="O26" s="34" t="s">
        <v>140</v>
      </c>
      <c r="P26" s="35" t="s">
        <v>214</v>
      </c>
    </row>
    <row r="27" spans="1:16" ht="12.75" customHeight="1" thickBot="1">
      <c r="A27" s="11" t="str">
        <f t="shared" si="0"/>
        <v>BAVM 239 </v>
      </c>
      <c r="B27" s="6" t="str">
        <f t="shared" si="1"/>
        <v>I</v>
      </c>
      <c r="C27" s="11">
        <f t="shared" si="2"/>
        <v>57069.350400000003</v>
      </c>
      <c r="D27" s="20" t="str">
        <f t="shared" si="3"/>
        <v>vis</v>
      </c>
      <c r="E27" s="31">
        <f>VLOOKUP(C27,Active!C$21:E$973,3,FALSE)</f>
        <v>7167.0124698296622</v>
      </c>
      <c r="F27" s="6" t="s">
        <v>75</v>
      </c>
      <c r="G27" s="20" t="str">
        <f t="shared" si="4"/>
        <v>57069.3504</v>
      </c>
      <c r="H27" s="11">
        <f t="shared" si="5"/>
        <v>7167</v>
      </c>
      <c r="I27" s="32" t="s">
        <v>219</v>
      </c>
      <c r="J27" s="33" t="s">
        <v>220</v>
      </c>
      <c r="K27" s="32" t="s">
        <v>221</v>
      </c>
      <c r="L27" s="32" t="s">
        <v>222</v>
      </c>
      <c r="M27" s="33" t="s">
        <v>158</v>
      </c>
      <c r="N27" s="33" t="s">
        <v>139</v>
      </c>
      <c r="O27" s="34" t="s">
        <v>140</v>
      </c>
      <c r="P27" s="35" t="s">
        <v>223</v>
      </c>
    </row>
    <row r="28" spans="1:16" ht="12.75" customHeight="1" thickBot="1">
      <c r="A28" s="11" t="str">
        <f t="shared" si="0"/>
        <v> VB 5.6 </v>
      </c>
      <c r="B28" s="6" t="str">
        <f t="shared" si="1"/>
        <v>I</v>
      </c>
      <c r="C28" s="11">
        <f t="shared" si="2"/>
        <v>26024.329000000002</v>
      </c>
      <c r="D28" s="20" t="str">
        <f t="shared" si="3"/>
        <v>vis</v>
      </c>
      <c r="E28" s="31">
        <f>VLOOKUP(C28,Active!C$21:E$973,3,FALSE)</f>
        <v>9.2343457657983097E-4</v>
      </c>
      <c r="F28" s="6" t="s">
        <v>75</v>
      </c>
      <c r="G28" s="20" t="str">
        <f t="shared" si="4"/>
        <v>26024.329</v>
      </c>
      <c r="H28" s="11">
        <f t="shared" si="5"/>
        <v>0</v>
      </c>
      <c r="I28" s="32" t="s">
        <v>77</v>
      </c>
      <c r="J28" s="33" t="s">
        <v>78</v>
      </c>
      <c r="K28" s="32">
        <v>0</v>
      </c>
      <c r="L28" s="32" t="s">
        <v>79</v>
      </c>
      <c r="M28" s="33" t="s">
        <v>80</v>
      </c>
      <c r="N28" s="33"/>
      <c r="O28" s="34" t="s">
        <v>81</v>
      </c>
      <c r="P28" s="34" t="s">
        <v>82</v>
      </c>
    </row>
    <row r="29" spans="1:16" ht="12.75" customHeight="1" thickBot="1">
      <c r="A29" s="11" t="str">
        <f t="shared" si="0"/>
        <v> VB 5.6 </v>
      </c>
      <c r="B29" s="6" t="str">
        <f t="shared" si="1"/>
        <v>I</v>
      </c>
      <c r="C29" s="11">
        <f t="shared" si="2"/>
        <v>26769.368999999999</v>
      </c>
      <c r="D29" s="20" t="str">
        <f t="shared" si="3"/>
        <v>vis</v>
      </c>
      <c r="E29" s="31">
        <f>VLOOKUP(C29,Active!C$21:E$973,3,FALSE)</f>
        <v>171.99984763329445</v>
      </c>
      <c r="F29" s="6" t="s">
        <v>75</v>
      </c>
      <c r="G29" s="20" t="str">
        <f t="shared" si="4"/>
        <v>26769.369</v>
      </c>
      <c r="H29" s="11">
        <f t="shared" si="5"/>
        <v>172</v>
      </c>
      <c r="I29" s="32" t="s">
        <v>83</v>
      </c>
      <c r="J29" s="33" t="s">
        <v>84</v>
      </c>
      <c r="K29" s="32">
        <v>172</v>
      </c>
      <c r="L29" s="32" t="s">
        <v>85</v>
      </c>
      <c r="M29" s="33" t="s">
        <v>80</v>
      </c>
      <c r="N29" s="33"/>
      <c r="O29" s="34" t="s">
        <v>81</v>
      </c>
      <c r="P29" s="34" t="s">
        <v>82</v>
      </c>
    </row>
    <row r="30" spans="1:16" ht="12.75" customHeight="1" thickBot="1">
      <c r="A30" s="11" t="str">
        <f t="shared" si="0"/>
        <v> VB 5.6 </v>
      </c>
      <c r="B30" s="6" t="str">
        <f t="shared" si="1"/>
        <v>I</v>
      </c>
      <c r="C30" s="11">
        <f t="shared" si="2"/>
        <v>26769.391</v>
      </c>
      <c r="D30" s="20" t="str">
        <f t="shared" si="3"/>
        <v>vis</v>
      </c>
      <c r="E30" s="31">
        <f>VLOOKUP(C30,Active!C$21:E$973,3,FALSE)</f>
        <v>172.0049265234648</v>
      </c>
      <c r="F30" s="6" t="s">
        <v>75</v>
      </c>
      <c r="G30" s="20" t="str">
        <f t="shared" si="4"/>
        <v>26769.391</v>
      </c>
      <c r="H30" s="11">
        <f t="shared" si="5"/>
        <v>172</v>
      </c>
      <c r="I30" s="32" t="s">
        <v>86</v>
      </c>
      <c r="J30" s="33" t="s">
        <v>87</v>
      </c>
      <c r="K30" s="32">
        <v>172</v>
      </c>
      <c r="L30" s="32" t="s">
        <v>88</v>
      </c>
      <c r="M30" s="33" t="s">
        <v>80</v>
      </c>
      <c r="N30" s="33"/>
      <c r="O30" s="34" t="s">
        <v>81</v>
      </c>
      <c r="P30" s="34" t="s">
        <v>82</v>
      </c>
    </row>
    <row r="31" spans="1:16" ht="12.75" customHeight="1" thickBot="1">
      <c r="A31" s="11" t="str">
        <f t="shared" si="0"/>
        <v> VB 5.6 </v>
      </c>
      <c r="B31" s="6" t="str">
        <f t="shared" si="1"/>
        <v>I</v>
      </c>
      <c r="C31" s="11">
        <f t="shared" si="2"/>
        <v>26808.335999999999</v>
      </c>
      <c r="D31" s="20" t="str">
        <f t="shared" si="3"/>
        <v>vis</v>
      </c>
      <c r="E31" s="31">
        <f>VLOOKUP(C31,Active!C$21:E$973,3,FALSE)</f>
        <v>180.99571641785846</v>
      </c>
      <c r="F31" s="6" t="s">
        <v>75</v>
      </c>
      <c r="G31" s="20" t="str">
        <f t="shared" si="4"/>
        <v>26808.336</v>
      </c>
      <c r="H31" s="11">
        <f t="shared" si="5"/>
        <v>181</v>
      </c>
      <c r="I31" s="32" t="s">
        <v>89</v>
      </c>
      <c r="J31" s="33" t="s">
        <v>90</v>
      </c>
      <c r="K31" s="32">
        <v>181</v>
      </c>
      <c r="L31" s="32" t="s">
        <v>91</v>
      </c>
      <c r="M31" s="33" t="s">
        <v>80</v>
      </c>
      <c r="N31" s="33"/>
      <c r="O31" s="34" t="s">
        <v>81</v>
      </c>
      <c r="P31" s="34" t="s">
        <v>82</v>
      </c>
    </row>
    <row r="32" spans="1:16" ht="12.75" customHeight="1" thickBot="1">
      <c r="A32" s="11" t="str">
        <f t="shared" si="0"/>
        <v> VB 5.6 </v>
      </c>
      <c r="B32" s="6" t="str">
        <f t="shared" si="1"/>
        <v>I</v>
      </c>
      <c r="C32" s="11">
        <f t="shared" si="2"/>
        <v>27449.465</v>
      </c>
      <c r="D32" s="20" t="str">
        <f t="shared" si="3"/>
        <v>vis</v>
      </c>
      <c r="E32" s="31">
        <f>VLOOKUP(C32,Active!C$21:E$973,3,FALSE)</f>
        <v>329.00588804971761</v>
      </c>
      <c r="F32" s="6" t="s">
        <v>75</v>
      </c>
      <c r="G32" s="20" t="str">
        <f t="shared" si="4"/>
        <v>27449.465</v>
      </c>
      <c r="H32" s="11">
        <f t="shared" si="5"/>
        <v>329</v>
      </c>
      <c r="I32" s="32" t="s">
        <v>92</v>
      </c>
      <c r="J32" s="33" t="s">
        <v>93</v>
      </c>
      <c r="K32" s="32">
        <v>329</v>
      </c>
      <c r="L32" s="32" t="s">
        <v>94</v>
      </c>
      <c r="M32" s="33" t="s">
        <v>80</v>
      </c>
      <c r="N32" s="33"/>
      <c r="O32" s="34" t="s">
        <v>81</v>
      </c>
      <c r="P32" s="34" t="s">
        <v>82</v>
      </c>
    </row>
    <row r="33" spans="1:16" ht="12.75" customHeight="1" thickBot="1">
      <c r="A33" s="11" t="str">
        <f t="shared" si="0"/>
        <v> VB 5.6 </v>
      </c>
      <c r="B33" s="6" t="str">
        <f t="shared" si="1"/>
        <v>I</v>
      </c>
      <c r="C33" s="11">
        <f t="shared" si="2"/>
        <v>27449.508000000002</v>
      </c>
      <c r="D33" s="20" t="str">
        <f t="shared" si="3"/>
        <v>vis</v>
      </c>
      <c r="E33" s="31">
        <f>VLOOKUP(C33,Active!C$21:E$973,3,FALSE)</f>
        <v>329.01581497141416</v>
      </c>
      <c r="F33" s="6" t="s">
        <v>75</v>
      </c>
      <c r="G33" s="20" t="str">
        <f t="shared" si="4"/>
        <v>27449.508</v>
      </c>
      <c r="H33" s="11">
        <f t="shared" si="5"/>
        <v>329</v>
      </c>
      <c r="I33" s="32" t="s">
        <v>95</v>
      </c>
      <c r="J33" s="33" t="s">
        <v>96</v>
      </c>
      <c r="K33" s="32">
        <v>329</v>
      </c>
      <c r="L33" s="32" t="s">
        <v>97</v>
      </c>
      <c r="M33" s="33" t="s">
        <v>80</v>
      </c>
      <c r="N33" s="33"/>
      <c r="O33" s="34" t="s">
        <v>81</v>
      </c>
      <c r="P33" s="34" t="s">
        <v>82</v>
      </c>
    </row>
    <row r="34" spans="1:16" ht="12.75" customHeight="1" thickBot="1">
      <c r="A34" s="11" t="str">
        <f t="shared" si="0"/>
        <v> VB 5.6 </v>
      </c>
      <c r="B34" s="6" t="str">
        <f t="shared" si="1"/>
        <v>I</v>
      </c>
      <c r="C34" s="11">
        <f t="shared" si="2"/>
        <v>28636.351999999999</v>
      </c>
      <c r="D34" s="20" t="str">
        <f t="shared" si="3"/>
        <v>vis</v>
      </c>
      <c r="E34" s="31">
        <f>VLOOKUP(C34,Active!C$21:E$973,3,FALSE)</f>
        <v>603.00901156717202</v>
      </c>
      <c r="F34" s="6" t="s">
        <v>75</v>
      </c>
      <c r="G34" s="20" t="str">
        <f t="shared" si="4"/>
        <v>28636.352</v>
      </c>
      <c r="H34" s="11">
        <f t="shared" si="5"/>
        <v>603</v>
      </c>
      <c r="I34" s="32" t="s">
        <v>98</v>
      </c>
      <c r="J34" s="33" t="s">
        <v>99</v>
      </c>
      <c r="K34" s="32">
        <v>603</v>
      </c>
      <c r="L34" s="32" t="s">
        <v>100</v>
      </c>
      <c r="M34" s="33" t="s">
        <v>80</v>
      </c>
      <c r="N34" s="33"/>
      <c r="O34" s="34" t="s">
        <v>81</v>
      </c>
      <c r="P34" s="34" t="s">
        <v>82</v>
      </c>
    </row>
    <row r="35" spans="1:16" ht="12.75" customHeight="1" thickBot="1">
      <c r="A35" s="11" t="str">
        <f t="shared" si="0"/>
        <v> VB 5.6 </v>
      </c>
      <c r="B35" s="6" t="str">
        <f t="shared" si="1"/>
        <v>I</v>
      </c>
      <c r="C35" s="11">
        <f t="shared" si="2"/>
        <v>28835.531999999999</v>
      </c>
      <c r="D35" s="20" t="str">
        <f t="shared" si="3"/>
        <v>vis</v>
      </c>
      <c r="E35" s="31">
        <f>VLOOKUP(C35,Active!C$21:E$973,3,FALSE)</f>
        <v>648.99143629859691</v>
      </c>
      <c r="F35" s="6" t="s">
        <v>75</v>
      </c>
      <c r="G35" s="20" t="str">
        <f t="shared" si="4"/>
        <v>28835.532</v>
      </c>
      <c r="H35" s="11">
        <f t="shared" si="5"/>
        <v>649</v>
      </c>
      <c r="I35" s="32" t="s">
        <v>101</v>
      </c>
      <c r="J35" s="33" t="s">
        <v>102</v>
      </c>
      <c r="K35" s="32">
        <v>649</v>
      </c>
      <c r="L35" s="32" t="s">
        <v>103</v>
      </c>
      <c r="M35" s="33" t="s">
        <v>80</v>
      </c>
      <c r="N35" s="33"/>
      <c r="O35" s="34" t="s">
        <v>81</v>
      </c>
      <c r="P35" s="34" t="s">
        <v>82</v>
      </c>
    </row>
    <row r="36" spans="1:16" ht="12.75" customHeight="1" thickBot="1">
      <c r="A36" s="11" t="str">
        <f t="shared" si="0"/>
        <v> VB 5.6 </v>
      </c>
      <c r="B36" s="6" t="str">
        <f t="shared" si="1"/>
        <v>I</v>
      </c>
      <c r="C36" s="11">
        <f t="shared" si="2"/>
        <v>29303.392</v>
      </c>
      <c r="D36" s="20" t="str">
        <f t="shared" si="3"/>
        <v>vis</v>
      </c>
      <c r="E36" s="31">
        <f>VLOOKUP(C36,Active!C$21:E$973,3,FALSE)</f>
        <v>757.00096152625258</v>
      </c>
      <c r="F36" s="6" t="s">
        <v>75</v>
      </c>
      <c r="G36" s="20" t="str">
        <f t="shared" si="4"/>
        <v>29303.392</v>
      </c>
      <c r="H36" s="11">
        <f t="shared" si="5"/>
        <v>757</v>
      </c>
      <c r="I36" s="32" t="s">
        <v>104</v>
      </c>
      <c r="J36" s="33" t="s">
        <v>105</v>
      </c>
      <c r="K36" s="32">
        <v>757</v>
      </c>
      <c r="L36" s="32" t="s">
        <v>79</v>
      </c>
      <c r="M36" s="33" t="s">
        <v>80</v>
      </c>
      <c r="N36" s="33"/>
      <c r="O36" s="34" t="s">
        <v>81</v>
      </c>
      <c r="P36" s="34" t="s">
        <v>82</v>
      </c>
    </row>
    <row r="37" spans="1:16" ht="12.75" customHeight="1" thickBot="1">
      <c r="A37" s="11" t="str">
        <f t="shared" si="0"/>
        <v> AC 215.21 </v>
      </c>
      <c r="B37" s="6" t="str">
        <f t="shared" si="1"/>
        <v>I</v>
      </c>
      <c r="C37" s="11">
        <f t="shared" si="2"/>
        <v>34445.214</v>
      </c>
      <c r="D37" s="20" t="str">
        <f t="shared" si="3"/>
        <v>vis</v>
      </c>
      <c r="E37" s="31">
        <f>VLOOKUP(C37,Active!C$21:E$973,3,FALSE)</f>
        <v>1944.0350166391368</v>
      </c>
      <c r="F37" s="6" t="s">
        <v>75</v>
      </c>
      <c r="G37" s="20" t="str">
        <f t="shared" si="4"/>
        <v>34445.214</v>
      </c>
      <c r="H37" s="11">
        <f t="shared" si="5"/>
        <v>1944</v>
      </c>
      <c r="I37" s="32" t="s">
        <v>106</v>
      </c>
      <c r="J37" s="33" t="s">
        <v>107</v>
      </c>
      <c r="K37" s="32">
        <v>1944</v>
      </c>
      <c r="L37" s="32" t="s">
        <v>108</v>
      </c>
      <c r="M37" s="33" t="s">
        <v>80</v>
      </c>
      <c r="N37" s="33"/>
      <c r="O37" s="34" t="s">
        <v>109</v>
      </c>
      <c r="P37" s="34" t="s">
        <v>110</v>
      </c>
    </row>
    <row r="38" spans="1:16" ht="12.75" customHeight="1" thickBot="1">
      <c r="A38" s="11" t="str">
        <f t="shared" si="0"/>
        <v>BAVM 157 </v>
      </c>
      <c r="B38" s="6" t="str">
        <f t="shared" si="1"/>
        <v>I</v>
      </c>
      <c r="C38" s="11">
        <f t="shared" si="2"/>
        <v>52720.427000000003</v>
      </c>
      <c r="D38" s="20" t="str">
        <f t="shared" si="3"/>
        <v>vis</v>
      </c>
      <c r="E38" s="31">
        <f>VLOOKUP(C38,Active!C$21:E$973,3,FALSE)</f>
        <v>6163.0259104199213</v>
      </c>
      <c r="F38" s="6" t="s">
        <v>75</v>
      </c>
      <c r="G38" s="20" t="str">
        <f t="shared" si="4"/>
        <v>52720.427</v>
      </c>
      <c r="H38" s="11">
        <f t="shared" si="5"/>
        <v>6163</v>
      </c>
      <c r="I38" s="32" t="s">
        <v>142</v>
      </c>
      <c r="J38" s="33" t="s">
        <v>143</v>
      </c>
      <c r="K38" s="32" t="s">
        <v>144</v>
      </c>
      <c r="L38" s="32" t="s">
        <v>145</v>
      </c>
      <c r="M38" s="33" t="s">
        <v>123</v>
      </c>
      <c r="N38" s="33"/>
      <c r="O38" s="34" t="s">
        <v>146</v>
      </c>
      <c r="P38" s="35" t="s">
        <v>147</v>
      </c>
    </row>
    <row r="39" spans="1:16" ht="12.75" customHeight="1" thickBot="1">
      <c r="A39" s="11" t="str">
        <f t="shared" si="0"/>
        <v>BAVM 203 </v>
      </c>
      <c r="B39" s="6" t="str">
        <f t="shared" si="1"/>
        <v>I</v>
      </c>
      <c r="C39" s="11">
        <f t="shared" si="2"/>
        <v>54457.366699999999</v>
      </c>
      <c r="D39" s="20" t="str">
        <f t="shared" si="3"/>
        <v>vis</v>
      </c>
      <c r="E39" s="31">
        <f>VLOOKUP(C39,Active!C$21:E$973,3,FALSE)</f>
        <v>6564.0134544417779</v>
      </c>
      <c r="F39" s="6" t="s">
        <v>75</v>
      </c>
      <c r="G39" s="20" t="str">
        <f t="shared" si="4"/>
        <v>54457.3667</v>
      </c>
      <c r="H39" s="11">
        <f t="shared" si="5"/>
        <v>6564</v>
      </c>
      <c r="I39" s="32" t="s">
        <v>160</v>
      </c>
      <c r="J39" s="33" t="s">
        <v>161</v>
      </c>
      <c r="K39" s="32" t="s">
        <v>162</v>
      </c>
      <c r="L39" s="32" t="s">
        <v>163</v>
      </c>
      <c r="M39" s="33" t="s">
        <v>158</v>
      </c>
      <c r="N39" s="33" t="s">
        <v>152</v>
      </c>
      <c r="O39" s="34" t="s">
        <v>164</v>
      </c>
      <c r="P39" s="35" t="s">
        <v>165</v>
      </c>
    </row>
    <row r="40" spans="1:16" ht="12.75" customHeight="1" thickBot="1">
      <c r="A40" s="11" t="str">
        <f t="shared" si="0"/>
        <v>BAVM 203 </v>
      </c>
      <c r="B40" s="6" t="str">
        <f t="shared" si="1"/>
        <v>I</v>
      </c>
      <c r="C40" s="11">
        <f t="shared" si="2"/>
        <v>54509.347199999997</v>
      </c>
      <c r="D40" s="20" t="str">
        <f t="shared" si="3"/>
        <v>vis</v>
      </c>
      <c r="E40" s="31">
        <f>VLOOKUP(C40,Active!C$21:E$973,3,FALSE)</f>
        <v>6576.0136021913095</v>
      </c>
      <c r="F40" s="6" t="s">
        <v>75</v>
      </c>
      <c r="G40" s="20" t="str">
        <f t="shared" si="4"/>
        <v>54509.3472</v>
      </c>
      <c r="H40" s="11">
        <f t="shared" si="5"/>
        <v>6576</v>
      </c>
      <c r="I40" s="32" t="s">
        <v>166</v>
      </c>
      <c r="J40" s="33" t="s">
        <v>167</v>
      </c>
      <c r="K40" s="32" t="s">
        <v>168</v>
      </c>
      <c r="L40" s="32" t="s">
        <v>169</v>
      </c>
      <c r="M40" s="33" t="s">
        <v>158</v>
      </c>
      <c r="N40" s="33" t="s">
        <v>75</v>
      </c>
      <c r="O40" s="34" t="s">
        <v>170</v>
      </c>
      <c r="P40" s="35" t="s">
        <v>165</v>
      </c>
    </row>
    <row r="41" spans="1:16" ht="12.75" customHeight="1" thickBot="1">
      <c r="A41" s="11" t="str">
        <f t="shared" si="0"/>
        <v>VSB 55 </v>
      </c>
      <c r="B41" s="6" t="str">
        <f t="shared" si="1"/>
        <v>I</v>
      </c>
      <c r="C41" s="11">
        <f t="shared" si="2"/>
        <v>55956.119899999998</v>
      </c>
      <c r="D41" s="20" t="str">
        <f t="shared" si="3"/>
        <v>vis</v>
      </c>
      <c r="E41" s="31">
        <f>VLOOKUP(C41,Active!C$21:E$973,3,FALSE)</f>
        <v>6910.0135860312048</v>
      </c>
      <c r="F41" s="6" t="s">
        <v>75</v>
      </c>
      <c r="G41" s="20" t="str">
        <f t="shared" si="4"/>
        <v>55956.1199</v>
      </c>
      <c r="H41" s="11">
        <f t="shared" si="5"/>
        <v>6910</v>
      </c>
      <c r="I41" s="32" t="s">
        <v>186</v>
      </c>
      <c r="J41" s="33" t="s">
        <v>187</v>
      </c>
      <c r="K41" s="32" t="s">
        <v>188</v>
      </c>
      <c r="L41" s="32" t="s">
        <v>189</v>
      </c>
      <c r="M41" s="33" t="s">
        <v>158</v>
      </c>
      <c r="N41" s="33" t="s">
        <v>75</v>
      </c>
      <c r="O41" s="34" t="s">
        <v>190</v>
      </c>
      <c r="P41" s="35" t="s">
        <v>191</v>
      </c>
    </row>
    <row r="42" spans="1:16" ht="12.75" customHeight="1" thickBot="1">
      <c r="A42" s="11" t="str">
        <f t="shared" si="0"/>
        <v>VSB 56 </v>
      </c>
      <c r="B42" s="6" t="str">
        <f t="shared" si="1"/>
        <v>I</v>
      </c>
      <c r="C42" s="11">
        <f t="shared" si="2"/>
        <v>56649.183400000002</v>
      </c>
      <c r="D42" s="20" t="str">
        <f t="shared" si="3"/>
        <v>vis</v>
      </c>
      <c r="E42" s="31">
        <f>VLOOKUP(C42,Active!C$21:E$973,3,FALSE)</f>
        <v>7070.0132859149689</v>
      </c>
      <c r="F42" s="6" t="s">
        <v>75</v>
      </c>
      <c r="G42" s="20" t="str">
        <f t="shared" si="4"/>
        <v>56649.1834</v>
      </c>
      <c r="H42" s="11">
        <f t="shared" si="5"/>
        <v>7070</v>
      </c>
      <c r="I42" s="32" t="s">
        <v>203</v>
      </c>
      <c r="J42" s="33" t="s">
        <v>204</v>
      </c>
      <c r="K42" s="32" t="s">
        <v>205</v>
      </c>
      <c r="L42" s="32" t="s">
        <v>206</v>
      </c>
      <c r="M42" s="33" t="s">
        <v>158</v>
      </c>
      <c r="N42" s="33" t="s">
        <v>207</v>
      </c>
      <c r="O42" s="34" t="s">
        <v>208</v>
      </c>
      <c r="P42" s="35" t="s">
        <v>209</v>
      </c>
    </row>
    <row r="43" spans="1:16">
      <c r="B43" s="6"/>
      <c r="E43" s="31"/>
      <c r="F43" s="6"/>
    </row>
    <row r="44" spans="1:16">
      <c r="B44" s="6"/>
      <c r="E44" s="31"/>
      <c r="F44" s="6"/>
    </row>
    <row r="45" spans="1:16">
      <c r="B45" s="6"/>
      <c r="E45" s="31"/>
      <c r="F45" s="6"/>
    </row>
    <row r="46" spans="1:16">
      <c r="B46" s="6"/>
      <c r="E46" s="31"/>
      <c r="F46" s="6"/>
    </row>
    <row r="47" spans="1:16">
      <c r="B47" s="6"/>
      <c r="E47" s="31"/>
      <c r="F47" s="6"/>
    </row>
    <row r="48" spans="1:16">
      <c r="B48" s="6"/>
      <c r="E48" s="31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</sheetData>
  <phoneticPr fontId="8" type="noConversion"/>
  <hyperlinks>
    <hyperlink ref="P14" r:id="rId1" display="http://www.bav-astro.de/sfs/BAVM_link.php?BAVMnr=34" xr:uid="{00000000-0004-0000-0100-000000000000}"/>
    <hyperlink ref="P15" r:id="rId2" display="http://www.bav-astro.de/sfs/BAVM_link.php?BAVMnr=80" xr:uid="{00000000-0004-0000-0100-000001000000}"/>
    <hyperlink ref="P17" r:id="rId3" display="http://www.bav-astro.de/sfs/BAVM_link.php?BAVMnr=158" xr:uid="{00000000-0004-0000-0100-000002000000}"/>
    <hyperlink ref="P38" r:id="rId4" display="http://www.bav-astro.de/sfs/BAVM_link.php?BAVMnr=157" xr:uid="{00000000-0004-0000-0100-000003000000}"/>
    <hyperlink ref="P18" r:id="rId5" display="http://www.bav-astro.de/sfs/BAVM_link.php?BAVMnr=158" xr:uid="{00000000-0004-0000-0100-000004000000}"/>
    <hyperlink ref="P19" r:id="rId6" display="http://www.bav-astro.de/sfs/BAVM_link.php?BAVMnr=186" xr:uid="{00000000-0004-0000-0100-000005000000}"/>
    <hyperlink ref="P39" r:id="rId7" display="http://www.bav-astro.de/sfs/BAVM_link.php?BAVMnr=203" xr:uid="{00000000-0004-0000-0100-000006000000}"/>
    <hyperlink ref="P40" r:id="rId8" display="http://www.bav-astro.de/sfs/BAVM_link.php?BAVMnr=203" xr:uid="{00000000-0004-0000-0100-000007000000}"/>
    <hyperlink ref="P20" r:id="rId9" display="http://www.konkoly.hu/cgi-bin/IBVS?5871" xr:uid="{00000000-0004-0000-0100-000008000000}"/>
    <hyperlink ref="P21" r:id="rId10" display="http://www.bav-astro.de/sfs/BAVM_link.php?BAVMnr=214" xr:uid="{00000000-0004-0000-0100-000009000000}"/>
    <hyperlink ref="P22" r:id="rId11" display="http://www.bav-astro.de/sfs/BAVM_link.php?BAVMnr=214" xr:uid="{00000000-0004-0000-0100-00000A000000}"/>
    <hyperlink ref="P41" r:id="rId12" display="http://vsolj.cetus-net.org/vsoljno55.pdf" xr:uid="{00000000-0004-0000-0100-00000B000000}"/>
    <hyperlink ref="P23" r:id="rId13" display="http://www.bav-astro.de/sfs/BAVM_link.php?BAVMnr=228" xr:uid="{00000000-0004-0000-0100-00000C000000}"/>
    <hyperlink ref="P24" r:id="rId14" display="http://var.astro.cz/oejv/issues/oejv0160.pdf" xr:uid="{00000000-0004-0000-0100-00000D000000}"/>
    <hyperlink ref="P42" r:id="rId15" display="http://vsolj.cetus-net.org/vsoljno56.pdf" xr:uid="{00000000-0004-0000-0100-00000E000000}"/>
    <hyperlink ref="P25" r:id="rId16" display="http://www.bav-astro.de/sfs/BAVM_link.php?BAVMnr=238" xr:uid="{00000000-0004-0000-0100-00000F000000}"/>
    <hyperlink ref="P26" r:id="rId17" display="http://www.bav-astro.de/sfs/BAVM_link.php?BAVMnr=238" xr:uid="{00000000-0004-0000-0100-000010000000}"/>
    <hyperlink ref="P27" r:id="rId18" display="http://www.bav-astro.de/sfs/BAVM_link.php?BAVMnr=239" xr:uid="{00000000-0004-0000-0100-000011000000}"/>
  </hyperlinks>
  <pageMargins left="0.75" right="0.75" top="1" bottom="1" header="0.5" footer="0.5"/>
  <pageSetup orientation="portrait" horizontalDpi="300" verticalDpi="300" r:id="rId1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45"/>
  <sheetViews>
    <sheetView workbookViewId="0">
      <pane xSplit="18765" topLeftCell="Q1"/>
      <selection activeCell="C1" sqref="C1"/>
      <selection pane="topRight" activeCell="V7" sqref="V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9.5703125" customWidth="1"/>
    <col min="16" max="16" width="7.7109375" customWidth="1"/>
    <col min="17" max="17" width="9.85546875" customWidth="1"/>
  </cols>
  <sheetData>
    <row r="1" spans="1:90" ht="20.25">
      <c r="A1" s="1" t="s">
        <v>29</v>
      </c>
      <c r="C1" s="17" t="s">
        <v>46</v>
      </c>
    </row>
    <row r="2" spans="1:90">
      <c r="A2" t="s">
        <v>25</v>
      </c>
      <c r="P2" s="15">
        <v>36541.595000000001</v>
      </c>
      <c r="BI2" t="s">
        <v>43</v>
      </c>
    </row>
    <row r="3" spans="1:90" ht="13.5" thickBot="1">
      <c r="P3" s="15">
        <v>36628.368999999999</v>
      </c>
      <c r="BH3" t="s">
        <v>42</v>
      </c>
    </row>
    <row r="4" spans="1:90">
      <c r="A4" s="8" t="s">
        <v>0</v>
      </c>
      <c r="C4" s="3">
        <v>26024.325000000001</v>
      </c>
      <c r="D4" s="4">
        <v>4.3316549999999996</v>
      </c>
      <c r="P4">
        <f>+P3-P2</f>
        <v>86.773999999997613</v>
      </c>
    </row>
    <row r="5" spans="1:90">
      <c r="O5" t="s">
        <v>39</v>
      </c>
      <c r="P5">
        <v>10</v>
      </c>
      <c r="Q5">
        <v>10.5</v>
      </c>
      <c r="R5">
        <v>11</v>
      </c>
      <c r="S5">
        <v>11.5</v>
      </c>
      <c r="T5">
        <v>12</v>
      </c>
      <c r="U5">
        <v>12.5</v>
      </c>
      <c r="V5">
        <v>13</v>
      </c>
      <c r="W5">
        <v>13.5</v>
      </c>
      <c r="X5">
        <v>14</v>
      </c>
      <c r="Y5">
        <v>14.5</v>
      </c>
      <c r="Z5">
        <v>15</v>
      </c>
      <c r="AA5">
        <v>15.5</v>
      </c>
      <c r="AB5">
        <v>16</v>
      </c>
      <c r="AC5">
        <v>16.5</v>
      </c>
      <c r="AD5">
        <v>17</v>
      </c>
      <c r="AE5">
        <v>17.5</v>
      </c>
      <c r="AF5">
        <v>18</v>
      </c>
      <c r="AG5">
        <v>18.5</v>
      </c>
      <c r="AH5">
        <v>19</v>
      </c>
      <c r="AI5">
        <v>19.5</v>
      </c>
      <c r="AJ5">
        <v>20</v>
      </c>
      <c r="AK5">
        <v>20.5</v>
      </c>
      <c r="AL5">
        <v>21</v>
      </c>
      <c r="AM5">
        <v>21.5</v>
      </c>
      <c r="AN5">
        <v>22</v>
      </c>
      <c r="AO5">
        <v>22.5</v>
      </c>
      <c r="AP5">
        <v>23</v>
      </c>
      <c r="AQ5">
        <v>23.5</v>
      </c>
      <c r="AR5">
        <v>24</v>
      </c>
      <c r="AS5">
        <v>24.5</v>
      </c>
      <c r="AT5">
        <v>25</v>
      </c>
      <c r="AU5">
        <v>25.5</v>
      </c>
      <c r="AV5">
        <v>26</v>
      </c>
      <c r="AW5">
        <v>26.5</v>
      </c>
      <c r="AX5">
        <v>27</v>
      </c>
      <c r="AY5">
        <v>27.5</v>
      </c>
      <c r="AZ5">
        <v>28</v>
      </c>
      <c r="BA5">
        <v>28.5</v>
      </c>
      <c r="BB5">
        <v>29</v>
      </c>
      <c r="BC5">
        <v>29.5</v>
      </c>
      <c r="BD5">
        <v>30</v>
      </c>
      <c r="BE5">
        <v>30.5</v>
      </c>
      <c r="BF5">
        <v>31</v>
      </c>
      <c r="BG5">
        <v>31.5</v>
      </c>
      <c r="BH5">
        <v>32</v>
      </c>
      <c r="BI5">
        <v>32.5</v>
      </c>
      <c r="BJ5">
        <v>33</v>
      </c>
      <c r="BK5">
        <v>33.5</v>
      </c>
      <c r="BL5">
        <v>34</v>
      </c>
      <c r="BM5">
        <v>34.5</v>
      </c>
      <c r="BN5">
        <v>35</v>
      </c>
      <c r="BO5">
        <v>35.5</v>
      </c>
      <c r="BP5">
        <v>36</v>
      </c>
      <c r="BQ5">
        <v>36.5</v>
      </c>
      <c r="BR5">
        <v>37</v>
      </c>
      <c r="BS5">
        <v>37.5</v>
      </c>
      <c r="BT5">
        <v>38</v>
      </c>
      <c r="BU5">
        <v>38.5</v>
      </c>
      <c r="BV5">
        <v>39</v>
      </c>
      <c r="BW5">
        <v>39.5</v>
      </c>
      <c r="BX5">
        <v>40</v>
      </c>
      <c r="BY5">
        <v>40.5</v>
      </c>
      <c r="BZ5">
        <v>41</v>
      </c>
      <c r="CA5">
        <v>41.5</v>
      </c>
      <c r="CB5">
        <v>42</v>
      </c>
      <c r="CC5">
        <v>42.5</v>
      </c>
      <c r="CD5">
        <v>43</v>
      </c>
      <c r="CE5">
        <v>43.5</v>
      </c>
      <c r="CF5">
        <v>44</v>
      </c>
      <c r="CG5">
        <v>44.5</v>
      </c>
      <c r="CH5">
        <v>45</v>
      </c>
      <c r="CI5">
        <v>45.5</v>
      </c>
      <c r="CJ5">
        <v>46</v>
      </c>
      <c r="CK5">
        <v>46.5</v>
      </c>
      <c r="CL5">
        <v>47</v>
      </c>
    </row>
    <row r="6" spans="1:90">
      <c r="A6" s="8" t="s">
        <v>1</v>
      </c>
      <c r="O6" t="s">
        <v>40</v>
      </c>
      <c r="P6">
        <f t="shared" ref="P6:AU6" si="0">+$P$4/P5</f>
        <v>8.6773999999997606</v>
      </c>
      <c r="Q6">
        <f t="shared" si="0"/>
        <v>8.2641904761902492</v>
      </c>
      <c r="R6">
        <f t="shared" si="0"/>
        <v>7.8885454545452376</v>
      </c>
      <c r="S6">
        <f t="shared" si="0"/>
        <v>7.545565217391097</v>
      </c>
      <c r="T6">
        <f t="shared" si="0"/>
        <v>7.2311666666664678</v>
      </c>
      <c r="U6">
        <f t="shared" si="0"/>
        <v>6.9419199999998087</v>
      </c>
      <c r="V6">
        <f t="shared" si="0"/>
        <v>6.6749230769228936</v>
      </c>
      <c r="W6">
        <f t="shared" si="0"/>
        <v>6.4277037037035267</v>
      </c>
      <c r="X6">
        <f t="shared" si="0"/>
        <v>6.1981428571426864</v>
      </c>
      <c r="Y6" s="8">
        <f t="shared" si="0"/>
        <v>5.9844137931032835</v>
      </c>
      <c r="Z6">
        <f t="shared" si="0"/>
        <v>5.7849333333331741</v>
      </c>
      <c r="AA6">
        <f t="shared" si="0"/>
        <v>5.5983225806450072</v>
      </c>
      <c r="AB6">
        <f t="shared" si="0"/>
        <v>5.4233749999998508</v>
      </c>
      <c r="AC6">
        <f t="shared" si="0"/>
        <v>5.2590303030301584</v>
      </c>
      <c r="AD6">
        <f t="shared" si="0"/>
        <v>5.1043529411763302</v>
      </c>
      <c r="AE6">
        <f t="shared" si="0"/>
        <v>4.9585142857141493</v>
      </c>
      <c r="AF6">
        <f t="shared" si="0"/>
        <v>4.8207777777776455</v>
      </c>
      <c r="AG6">
        <f t="shared" si="0"/>
        <v>4.6904864864863578</v>
      </c>
      <c r="AH6">
        <f t="shared" si="0"/>
        <v>4.5670526315788216</v>
      </c>
      <c r="AI6">
        <f t="shared" si="0"/>
        <v>4.4499487179485957</v>
      </c>
      <c r="AJ6">
        <f t="shared" si="0"/>
        <v>4.3386999999998803</v>
      </c>
      <c r="AK6">
        <f t="shared" si="0"/>
        <v>4.2328780487803712</v>
      </c>
      <c r="AL6">
        <f t="shared" si="0"/>
        <v>4.1320952380951246</v>
      </c>
      <c r="AM6">
        <f t="shared" si="0"/>
        <v>4.0359999999998886</v>
      </c>
      <c r="AN6">
        <f t="shared" si="0"/>
        <v>3.9442727272726188</v>
      </c>
      <c r="AO6">
        <f t="shared" si="0"/>
        <v>3.856622222222116</v>
      </c>
      <c r="AP6">
        <f t="shared" si="0"/>
        <v>3.7727826086955485</v>
      </c>
      <c r="AQ6">
        <f t="shared" si="0"/>
        <v>3.6925106382977706</v>
      </c>
      <c r="AR6">
        <f t="shared" si="0"/>
        <v>3.6155833333332339</v>
      </c>
      <c r="AS6">
        <f t="shared" si="0"/>
        <v>3.5417959183672494</v>
      </c>
      <c r="AT6">
        <f t="shared" si="0"/>
        <v>3.4709599999999043</v>
      </c>
      <c r="AU6">
        <f t="shared" si="0"/>
        <v>3.4029019607842201</v>
      </c>
      <c r="AV6">
        <f t="shared" ref="AV6:CA6" si="1">+$P$4/AV5</f>
        <v>3.3374615384614468</v>
      </c>
      <c r="AW6">
        <f t="shared" si="1"/>
        <v>3.2744905660376458</v>
      </c>
      <c r="AX6">
        <f t="shared" si="1"/>
        <v>3.2138518518517634</v>
      </c>
      <c r="AY6">
        <f t="shared" si="1"/>
        <v>3.1554181818180949</v>
      </c>
      <c r="AZ6">
        <f t="shared" si="1"/>
        <v>3.0990714285713432</v>
      </c>
      <c r="BA6">
        <f t="shared" si="1"/>
        <v>3.0447017543858812</v>
      </c>
      <c r="BB6" s="8">
        <f t="shared" si="1"/>
        <v>2.9922068965516417</v>
      </c>
      <c r="BC6">
        <f t="shared" si="1"/>
        <v>2.9414915254236478</v>
      </c>
      <c r="BD6">
        <f t="shared" si="1"/>
        <v>2.892466666666587</v>
      </c>
      <c r="BE6">
        <f t="shared" si="1"/>
        <v>2.8450491803277904</v>
      </c>
      <c r="BF6">
        <f t="shared" si="1"/>
        <v>2.7991612903225036</v>
      </c>
      <c r="BG6">
        <f t="shared" si="1"/>
        <v>2.7547301587300828</v>
      </c>
      <c r="BH6" s="8">
        <f t="shared" si="1"/>
        <v>2.7116874999999254</v>
      </c>
      <c r="BI6">
        <f t="shared" si="1"/>
        <v>2.6699692307691572</v>
      </c>
      <c r="BJ6">
        <f t="shared" si="1"/>
        <v>2.6295151515150792</v>
      </c>
      <c r="BK6">
        <f t="shared" si="1"/>
        <v>2.5902686567163467</v>
      </c>
      <c r="BL6">
        <f t="shared" si="1"/>
        <v>2.5521764705881651</v>
      </c>
      <c r="BM6">
        <f t="shared" si="1"/>
        <v>2.5151884057970322</v>
      </c>
      <c r="BN6">
        <f t="shared" si="1"/>
        <v>2.4792571428570747</v>
      </c>
      <c r="BO6">
        <f t="shared" si="1"/>
        <v>2.4443380281689469</v>
      </c>
      <c r="BP6">
        <f t="shared" si="1"/>
        <v>2.4103888888888227</v>
      </c>
      <c r="BQ6">
        <f t="shared" si="1"/>
        <v>2.3773698630136333</v>
      </c>
      <c r="BR6">
        <f t="shared" si="1"/>
        <v>2.3452432432431789</v>
      </c>
      <c r="BS6">
        <f t="shared" si="1"/>
        <v>2.3139733333332697</v>
      </c>
      <c r="BT6">
        <f t="shared" si="1"/>
        <v>2.2835263157894108</v>
      </c>
      <c r="BU6">
        <f t="shared" si="1"/>
        <v>2.2538701298700681</v>
      </c>
      <c r="BV6">
        <f t="shared" si="1"/>
        <v>2.2249743589742979</v>
      </c>
      <c r="BW6">
        <f t="shared" si="1"/>
        <v>2.1968101265822182</v>
      </c>
      <c r="BX6">
        <f t="shared" si="1"/>
        <v>2.1693499999999402</v>
      </c>
      <c r="BY6">
        <f t="shared" si="1"/>
        <v>2.1425679012345089</v>
      </c>
      <c r="BZ6">
        <f t="shared" si="1"/>
        <v>2.1164390243901856</v>
      </c>
      <c r="CA6">
        <f t="shared" si="1"/>
        <v>2.090939759036087</v>
      </c>
      <c r="CB6">
        <f t="shared" ref="CB6:CL6" si="2">+$P$4/CB5</f>
        <v>2.0660476190475623</v>
      </c>
      <c r="CC6">
        <f t="shared" si="2"/>
        <v>2.041741176470532</v>
      </c>
      <c r="CD6">
        <f t="shared" si="2"/>
        <v>2.0179999999999443</v>
      </c>
      <c r="CE6" s="8">
        <f t="shared" si="2"/>
        <v>1.9948045977010946</v>
      </c>
      <c r="CF6">
        <f t="shared" si="2"/>
        <v>1.9721363636363094</v>
      </c>
      <c r="CG6">
        <f t="shared" si="2"/>
        <v>1.9499775280898339</v>
      </c>
      <c r="CH6">
        <f t="shared" si="2"/>
        <v>1.928311111111058</v>
      </c>
      <c r="CI6">
        <f t="shared" si="2"/>
        <v>1.9071208791208267</v>
      </c>
      <c r="CJ6">
        <f t="shared" si="2"/>
        <v>1.8863913043477742</v>
      </c>
      <c r="CK6">
        <f t="shared" si="2"/>
        <v>1.8661075268816691</v>
      </c>
      <c r="CL6">
        <f t="shared" si="2"/>
        <v>1.8462553191488853</v>
      </c>
    </row>
    <row r="7" spans="1:90">
      <c r="A7" t="s">
        <v>2</v>
      </c>
      <c r="C7">
        <f>+C4</f>
        <v>26024.325000000001</v>
      </c>
      <c r="O7" t="s">
        <v>41</v>
      </c>
      <c r="P7">
        <v>3.8608049368401378</v>
      </c>
      <c r="Q7">
        <v>7.7261822465463847</v>
      </c>
      <c r="R7">
        <v>9.8135863717004472</v>
      </c>
      <c r="S7">
        <v>7.6320060834404035</v>
      </c>
      <c r="T7">
        <v>2.2833171746703576</v>
      </c>
      <c r="U7">
        <v>7.8267864426460516</v>
      </c>
      <c r="V7">
        <v>4.228317664515953</v>
      </c>
      <c r="W7">
        <v>8.9744946819648259</v>
      </c>
      <c r="X7">
        <v>6.5246257363191207</v>
      </c>
      <c r="Y7">
        <v>2.3098324892434277</v>
      </c>
      <c r="Z7">
        <v>3.8737044541173971</v>
      </c>
      <c r="AA7">
        <v>5.2040653417520177</v>
      </c>
      <c r="AB7">
        <v>3.0404842386153228</v>
      </c>
      <c r="AC7">
        <v>3.3241595971942504</v>
      </c>
      <c r="AD7">
        <v>3.535255546635498</v>
      </c>
      <c r="AE7">
        <v>2.7390106477601064</v>
      </c>
      <c r="AF7">
        <v>2.0605636335872446</v>
      </c>
      <c r="AG7">
        <v>4.9651976031716751</v>
      </c>
      <c r="AH7">
        <v>3.8502446798082826</v>
      </c>
      <c r="AI7">
        <v>1.6320077838162974</v>
      </c>
      <c r="AJ7">
        <v>1.7216431517292277</v>
      </c>
      <c r="AK7" s="8">
        <v>2.7263598977194574</v>
      </c>
      <c r="AL7">
        <v>2.7436694001977471</v>
      </c>
      <c r="AM7">
        <v>0.95934967556468131</v>
      </c>
      <c r="AN7">
        <v>1.4136121640604853</v>
      </c>
      <c r="AO7">
        <v>1.230034740236186</v>
      </c>
      <c r="AP7">
        <v>1.2078899071968539</v>
      </c>
      <c r="AQ7">
        <v>1.712034635023767</v>
      </c>
      <c r="AR7">
        <v>1.5062526246736807</v>
      </c>
      <c r="AS7" s="8">
        <v>1.4900255688800328</v>
      </c>
      <c r="AT7" s="8">
        <v>1.0924777192894102</v>
      </c>
      <c r="AU7">
        <v>1.7471801774514895</v>
      </c>
      <c r="AV7">
        <v>3.0503296555584063</v>
      </c>
      <c r="AW7">
        <v>1.9137023756171472</v>
      </c>
      <c r="AX7">
        <v>2.2760635691588003</v>
      </c>
      <c r="AY7">
        <v>1.0362749728866354</v>
      </c>
      <c r="AZ7">
        <v>1.2125970125282122</v>
      </c>
      <c r="BA7">
        <v>1.5016520721716788</v>
      </c>
      <c r="BB7">
        <v>0.39746217738617862</v>
      </c>
      <c r="BC7">
        <v>0.4749010446249135</v>
      </c>
      <c r="BD7">
        <v>0.80815283378891145</v>
      </c>
      <c r="BE7">
        <v>0.83102984417993708</v>
      </c>
      <c r="BF7">
        <v>1.5147368931678618</v>
      </c>
      <c r="BG7">
        <v>0.64384571316392403</v>
      </c>
      <c r="BH7">
        <v>0.65300947671490583</v>
      </c>
      <c r="BI7">
        <v>0.75226854805151278</v>
      </c>
      <c r="BJ7">
        <v>0.61072714550729112</v>
      </c>
      <c r="BK7">
        <v>0.99381731475415913</v>
      </c>
      <c r="BL7">
        <v>0.96570395228028583</v>
      </c>
      <c r="BM7">
        <v>0.68662334831462601</v>
      </c>
      <c r="BN7">
        <v>1.1050215481608041</v>
      </c>
      <c r="BO7">
        <v>0.80581203106337296</v>
      </c>
      <c r="BP7">
        <v>0.83150616636032948</v>
      </c>
      <c r="BQ7">
        <v>0.70492574495253724</v>
      </c>
      <c r="BR7">
        <v>0.42740960126767591</v>
      </c>
      <c r="BS7">
        <v>0.70427649007631121</v>
      </c>
      <c r="BT7">
        <v>0.49010213227728566</v>
      </c>
      <c r="BU7">
        <v>0.74319045853323484</v>
      </c>
      <c r="BV7">
        <v>0.20640272722959527</v>
      </c>
      <c r="BW7">
        <v>0.15842315621193559</v>
      </c>
      <c r="BX7">
        <v>0.87724460997439324</v>
      </c>
      <c r="BY7">
        <v>0.68610143388016309</v>
      </c>
      <c r="BZ7">
        <v>0.44224968352398175</v>
      </c>
      <c r="CA7">
        <v>0.93273400344837065</v>
      </c>
      <c r="CB7">
        <v>0.360417982692946</v>
      </c>
      <c r="CC7">
        <v>0.44516682287792836</v>
      </c>
      <c r="CD7">
        <v>0.88985520091502757</v>
      </c>
      <c r="CE7">
        <v>0.54371412671469932</v>
      </c>
      <c r="CF7">
        <v>0.61297782086098873</v>
      </c>
      <c r="CG7">
        <v>0.44368446703582598</v>
      </c>
      <c r="CH7">
        <v>0.74725937275814602</v>
      </c>
      <c r="CI7">
        <v>0.70863732171866511</v>
      </c>
      <c r="CJ7">
        <v>0.37767859373119822</v>
      </c>
      <c r="CK7">
        <v>0.56833594668322651</v>
      </c>
      <c r="CL7">
        <v>0.12817543632745643</v>
      </c>
    </row>
    <row r="8" spans="1:90">
      <c r="A8" t="s">
        <v>3</v>
      </c>
      <c r="C8">
        <v>5.9844137931032835</v>
      </c>
    </row>
    <row r="9" spans="1:90">
      <c r="A9" t="s">
        <v>41</v>
      </c>
      <c r="D9">
        <f>SUM(R22:R29)</f>
        <v>0.54901157892986829</v>
      </c>
    </row>
    <row r="10" spans="1:90" ht="13.5" thickBot="1">
      <c r="C10" s="7" t="s">
        <v>20</v>
      </c>
      <c r="D10" s="7" t="s">
        <v>21</v>
      </c>
    </row>
    <row r="11" spans="1:90">
      <c r="A11" t="s">
        <v>16</v>
      </c>
      <c r="C11">
        <f>INTERCEPT(G21:G92,F21:F92)</f>
        <v>5.027090504188811</v>
      </c>
      <c r="D11" s="6"/>
    </row>
    <row r="12" spans="1:90">
      <c r="A12" t="s">
        <v>17</v>
      </c>
      <c r="C12">
        <f>SLOPE(G21:G92,F21:F92)</f>
        <v>-1.3683531365808678E-3</v>
      </c>
      <c r="D12" s="6"/>
    </row>
    <row r="13" spans="1:90">
      <c r="A13" t="s">
        <v>19</v>
      </c>
      <c r="C13" s="6" t="s">
        <v>14</v>
      </c>
      <c r="D13" s="6"/>
    </row>
    <row r="14" spans="1:90">
      <c r="A14" t="s">
        <v>24</v>
      </c>
    </row>
    <row r="15" spans="1:90">
      <c r="A15" s="5" t="s">
        <v>18</v>
      </c>
      <c r="C15">
        <f>+C7+C11</f>
        <v>26029.352090504188</v>
      </c>
    </row>
    <row r="16" spans="1:90">
      <c r="A16" s="8" t="s">
        <v>4</v>
      </c>
      <c r="C16">
        <f>+C8+C12</f>
        <v>5.9830454399667028</v>
      </c>
    </row>
    <row r="17" spans="1:18" ht="13.5" thickBot="1"/>
    <row r="18" spans="1:18">
      <c r="A18" s="8" t="s">
        <v>5</v>
      </c>
      <c r="C18" s="3">
        <f>+C15</f>
        <v>26029.352090504188</v>
      </c>
      <c r="D18" s="4">
        <f>+C16</f>
        <v>5.9830454399667028</v>
      </c>
    </row>
    <row r="19" spans="1:18" ht="13.5" thickTop="1"/>
    <row r="20" spans="1:18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35</v>
      </c>
      <c r="J20" s="10" t="s">
        <v>36</v>
      </c>
      <c r="K20" s="10" t="s">
        <v>37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8">
      <c r="A21" t="s">
        <v>12</v>
      </c>
      <c r="C21">
        <v>26024.325000000001</v>
      </c>
      <c r="D21" s="6" t="s">
        <v>14</v>
      </c>
      <c r="E21">
        <f t="shared" ref="E21:E29" si="3">+(C21-C$7)/C$8</f>
        <v>0</v>
      </c>
      <c r="F21" s="16">
        <f>ROUND(2*E21,0)/2-0.5</f>
        <v>-0.5</v>
      </c>
      <c r="H21" s="16">
        <v>2.9922068965533981</v>
      </c>
      <c r="O21">
        <f t="shared" ref="O21:O29" si="4">+C$11+C$12*F21</f>
        <v>5.0277746807571013</v>
      </c>
      <c r="Q21" s="2">
        <f t="shared" ref="Q21:Q29" si="5">+C21-15018.5</f>
        <v>11005.825000000001</v>
      </c>
      <c r="R21">
        <f t="shared" ref="R21:R29" si="6">+(O21-G21)^2</f>
        <v>25.278518240462173</v>
      </c>
    </row>
    <row r="22" spans="1:18">
      <c r="A22" t="s">
        <v>31</v>
      </c>
      <c r="C22" s="14">
        <v>35922.233999999997</v>
      </c>
      <c r="D22" s="6"/>
      <c r="E22">
        <f t="shared" si="3"/>
        <v>1653.9479625233814</v>
      </c>
      <c r="F22" s="16">
        <f>ROUND(2*E22,0)/2-0.5</f>
        <v>1653.5</v>
      </c>
      <c r="G22">
        <f t="shared" ref="G22:G29" si="7">+C22-(C$7+F22*C$8)</f>
        <v>2.6807931037183153</v>
      </c>
      <c r="N22">
        <f>G22</f>
        <v>2.6807931037183153</v>
      </c>
      <c r="O22">
        <f t="shared" si="4"/>
        <v>2.7645185928523461</v>
      </c>
      <c r="Q22" s="2">
        <f t="shared" si="5"/>
        <v>20903.733999999997</v>
      </c>
      <c r="R22">
        <f t="shared" si="6"/>
        <v>7.0099575307327232E-3</v>
      </c>
    </row>
    <row r="23" spans="1:18">
      <c r="A23" t="s">
        <v>32</v>
      </c>
      <c r="C23" s="14">
        <v>36541.595000000001</v>
      </c>
      <c r="D23" s="6"/>
      <c r="E23">
        <f t="shared" si="3"/>
        <v>1757.4436467145022</v>
      </c>
      <c r="F23" s="16">
        <f>ROUND(2*E23,0)/2-0.5</f>
        <v>1757</v>
      </c>
      <c r="G23">
        <f t="shared" si="7"/>
        <v>2.6549655175331281</v>
      </c>
      <c r="N23">
        <f>G23</f>
        <v>2.6549655175331281</v>
      </c>
      <c r="O23">
        <f t="shared" si="4"/>
        <v>2.6228940432162262</v>
      </c>
      <c r="Q23" s="2">
        <f t="shared" si="5"/>
        <v>21523.095000000001</v>
      </c>
      <c r="R23">
        <f t="shared" si="6"/>
        <v>1.0285794648597006E-3</v>
      </c>
    </row>
    <row r="24" spans="1:18">
      <c r="A24" t="s">
        <v>32</v>
      </c>
      <c r="C24" s="14">
        <v>36628.368999999999</v>
      </c>
      <c r="D24" s="6"/>
      <c r="E24">
        <f t="shared" si="3"/>
        <v>1771.9436467145022</v>
      </c>
      <c r="F24" s="16">
        <f>ROUND(2*E24,0)/2-0.5</f>
        <v>1771.5</v>
      </c>
      <c r="G24">
        <f t="shared" si="7"/>
        <v>2.6549655175331281</v>
      </c>
      <c r="N24">
        <f>G24</f>
        <v>2.6549655175331281</v>
      </c>
      <c r="O24">
        <f t="shared" si="4"/>
        <v>2.6030529227358037</v>
      </c>
      <c r="Q24" s="2">
        <f t="shared" si="5"/>
        <v>21609.868999999999</v>
      </c>
      <c r="R24">
        <f t="shared" si="6"/>
        <v>2.6949174985911989E-3</v>
      </c>
    </row>
    <row r="25" spans="1:18">
      <c r="A25" t="s">
        <v>33</v>
      </c>
      <c r="C25" s="14">
        <v>45001.3</v>
      </c>
      <c r="D25" s="6"/>
      <c r="E25">
        <f t="shared" si="3"/>
        <v>3171.0666501487499</v>
      </c>
      <c r="F25">
        <f>ROUND(2*E25,0)/2</f>
        <v>3171</v>
      </c>
      <c r="G25">
        <f t="shared" si="7"/>
        <v>0.39886206948722247</v>
      </c>
      <c r="I25">
        <f>G25</f>
        <v>0.39886206948722247</v>
      </c>
      <c r="O25">
        <f t="shared" si="4"/>
        <v>0.68804270809087953</v>
      </c>
      <c r="Q25" s="2">
        <f t="shared" si="5"/>
        <v>29982.800000000003</v>
      </c>
      <c r="R25">
        <f t="shared" si="6"/>
        <v>8.3625441743218912E-2</v>
      </c>
    </row>
    <row r="26" spans="1:18">
      <c r="A26" t="s">
        <v>38</v>
      </c>
      <c r="C26" s="14">
        <v>48986.4931</v>
      </c>
      <c r="D26" s="6"/>
      <c r="E26">
        <f t="shared" si="3"/>
        <v>3836.9953839860923</v>
      </c>
      <c r="F26">
        <f>ROUND(2*E26,0)/2</f>
        <v>3837</v>
      </c>
      <c r="G26">
        <f t="shared" si="7"/>
        <v>-2.7624137299426366E-2</v>
      </c>
      <c r="K26">
        <f>G26</f>
        <v>-2.7624137299426366E-2</v>
      </c>
      <c r="O26">
        <f t="shared" si="4"/>
        <v>-0.2232804808719786</v>
      </c>
      <c r="Q26" s="2">
        <f t="shared" si="5"/>
        <v>33967.9931</v>
      </c>
      <c r="R26">
        <f t="shared" si="6"/>
        <v>3.8281404780180606E-2</v>
      </c>
    </row>
    <row r="27" spans="1:18">
      <c r="A27" t="s">
        <v>34</v>
      </c>
      <c r="C27" s="14">
        <v>49809.52</v>
      </c>
      <c r="D27" s="6"/>
      <c r="E27">
        <f t="shared" si="3"/>
        <v>3974.5237916888636</v>
      </c>
      <c r="F27">
        <f>ROUND(2*E27,0)/2</f>
        <v>3974.5</v>
      </c>
      <c r="G27">
        <f t="shared" si="7"/>
        <v>0.14237931099341949</v>
      </c>
      <c r="J27">
        <f>G27</f>
        <v>0.14237931099341949</v>
      </c>
      <c r="O27">
        <f t="shared" si="4"/>
        <v>-0.41142903715184787</v>
      </c>
      <c r="Q27" s="2">
        <f t="shared" si="5"/>
        <v>34791.019999999997</v>
      </c>
      <c r="R27" s="17">
        <f t="shared" si="6"/>
        <v>0.30670368647538965</v>
      </c>
    </row>
    <row r="28" spans="1:18">
      <c r="A28" t="s">
        <v>30</v>
      </c>
      <c r="B28" s="11"/>
      <c r="C28" s="13">
        <v>52369.5219</v>
      </c>
      <c r="D28" s="13">
        <v>5.0000000000000001E-4</v>
      </c>
      <c r="E28">
        <f t="shared" si="3"/>
        <v>4402.3020150046159</v>
      </c>
      <c r="F28">
        <f>ROUND(2*E28,0)/2</f>
        <v>4402.5</v>
      </c>
      <c r="G28">
        <f t="shared" si="7"/>
        <v>-1.1848241372063057</v>
      </c>
      <c r="H28" s="11"/>
      <c r="I28" s="6"/>
      <c r="J28" s="6"/>
      <c r="K28">
        <f>G28</f>
        <v>-1.1848241372063057</v>
      </c>
      <c r="O28">
        <f t="shared" si="4"/>
        <v>-0.99708417960845974</v>
      </c>
      <c r="Q28" s="2">
        <f t="shared" si="5"/>
        <v>37351.0219</v>
      </c>
      <c r="R28">
        <f t="shared" si="6"/>
        <v>3.5246291678841017E-2</v>
      </c>
    </row>
    <row r="29" spans="1:18">
      <c r="A29" t="s">
        <v>30</v>
      </c>
      <c r="B29" s="12"/>
      <c r="C29" s="13">
        <v>52746.368699999999</v>
      </c>
      <c r="D29" s="13">
        <v>2.0000000000000001E-4</v>
      </c>
      <c r="E29">
        <f t="shared" si="3"/>
        <v>4465.2733958329754</v>
      </c>
      <c r="F29">
        <f>ROUND(2*E29,0)/2</f>
        <v>4465.5</v>
      </c>
      <c r="G29">
        <f t="shared" si="7"/>
        <v>-1.3560931027095648</v>
      </c>
      <c r="H29" s="11"/>
      <c r="I29" s="12"/>
      <c r="J29" s="6"/>
      <c r="K29">
        <f>G29</f>
        <v>-1.3560931027095648</v>
      </c>
      <c r="O29">
        <f t="shared" si="4"/>
        <v>-1.0832904272130541</v>
      </c>
      <c r="Q29" s="2">
        <f t="shared" si="5"/>
        <v>37727.868699999999</v>
      </c>
      <c r="R29">
        <f t="shared" si="6"/>
        <v>7.4421299758054532E-2</v>
      </c>
    </row>
    <row r="30" spans="1:18">
      <c r="D30" s="6"/>
    </row>
    <row r="31" spans="1:18">
      <c r="D31" s="6"/>
    </row>
    <row r="32" spans="1:18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L45"/>
  <sheetViews>
    <sheetView workbookViewId="0">
      <selection activeCell="S22" sqref="S2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9.5703125" customWidth="1"/>
    <col min="16" max="16" width="7.7109375" customWidth="1"/>
    <col min="17" max="17" width="9.85546875" customWidth="1"/>
  </cols>
  <sheetData>
    <row r="1" spans="1:90" ht="20.25">
      <c r="A1" s="1" t="s">
        <v>29</v>
      </c>
      <c r="C1" s="17" t="s">
        <v>46</v>
      </c>
    </row>
    <row r="2" spans="1:90">
      <c r="A2" t="s">
        <v>25</v>
      </c>
      <c r="P2" s="15">
        <v>36541.595000000001</v>
      </c>
      <c r="BI2" t="s">
        <v>43</v>
      </c>
    </row>
    <row r="3" spans="1:90" ht="13.5" thickBot="1">
      <c r="P3" s="15">
        <v>36628.368999999999</v>
      </c>
      <c r="BH3" t="s">
        <v>42</v>
      </c>
    </row>
    <row r="4" spans="1:90">
      <c r="A4" s="8" t="s">
        <v>0</v>
      </c>
      <c r="C4" s="3">
        <v>26024.325000000001</v>
      </c>
      <c r="D4" s="4">
        <v>4.3316549999999996</v>
      </c>
      <c r="P4">
        <f>+P3-P2</f>
        <v>86.773999999997613</v>
      </c>
    </row>
    <row r="5" spans="1:90">
      <c r="O5" t="s">
        <v>39</v>
      </c>
      <c r="P5">
        <v>10</v>
      </c>
      <c r="Q5">
        <v>10.5</v>
      </c>
      <c r="R5">
        <v>11</v>
      </c>
      <c r="S5">
        <v>11.5</v>
      </c>
      <c r="T5">
        <v>12</v>
      </c>
      <c r="U5">
        <v>12.5</v>
      </c>
      <c r="V5">
        <v>13</v>
      </c>
      <c r="W5">
        <v>13.5</v>
      </c>
      <c r="X5">
        <v>14</v>
      </c>
      <c r="Y5">
        <v>14.5</v>
      </c>
      <c r="Z5">
        <v>15</v>
      </c>
      <c r="AA5">
        <v>15.5</v>
      </c>
      <c r="AB5">
        <v>16</v>
      </c>
      <c r="AC5">
        <v>16.5</v>
      </c>
      <c r="AD5">
        <v>17</v>
      </c>
      <c r="AE5">
        <v>17.5</v>
      </c>
      <c r="AF5">
        <v>18</v>
      </c>
      <c r="AG5">
        <v>18.5</v>
      </c>
      <c r="AH5">
        <v>19</v>
      </c>
      <c r="AI5">
        <v>19.5</v>
      </c>
      <c r="AJ5">
        <v>20</v>
      </c>
      <c r="AK5">
        <v>20.5</v>
      </c>
      <c r="AL5">
        <v>21</v>
      </c>
      <c r="AM5">
        <v>21.5</v>
      </c>
      <c r="AN5">
        <v>22</v>
      </c>
      <c r="AO5">
        <v>22.5</v>
      </c>
      <c r="AP5">
        <v>23</v>
      </c>
      <c r="AQ5">
        <v>23.5</v>
      </c>
      <c r="AR5">
        <v>24</v>
      </c>
      <c r="AS5">
        <v>24.5</v>
      </c>
      <c r="AT5">
        <v>25</v>
      </c>
      <c r="AU5">
        <v>25.5</v>
      </c>
      <c r="AV5">
        <v>26</v>
      </c>
      <c r="AW5">
        <v>26.5</v>
      </c>
      <c r="AX5">
        <v>27</v>
      </c>
      <c r="AY5">
        <v>27.5</v>
      </c>
      <c r="AZ5">
        <v>28</v>
      </c>
      <c r="BA5">
        <v>28.5</v>
      </c>
      <c r="BB5">
        <v>29</v>
      </c>
      <c r="BC5">
        <v>29.5</v>
      </c>
      <c r="BD5">
        <v>30</v>
      </c>
      <c r="BE5">
        <v>30.5</v>
      </c>
      <c r="BF5">
        <v>31</v>
      </c>
      <c r="BG5">
        <v>31.5</v>
      </c>
      <c r="BH5">
        <v>32</v>
      </c>
      <c r="BI5">
        <v>32.5</v>
      </c>
      <c r="BJ5">
        <v>33</v>
      </c>
      <c r="BK5">
        <v>33.5</v>
      </c>
      <c r="BL5">
        <v>34</v>
      </c>
      <c r="BM5">
        <v>34.5</v>
      </c>
      <c r="BN5">
        <v>35</v>
      </c>
      <c r="BO5">
        <v>35.5</v>
      </c>
      <c r="BP5">
        <v>36</v>
      </c>
      <c r="BQ5">
        <v>36.5</v>
      </c>
      <c r="BR5">
        <v>37</v>
      </c>
      <c r="BS5">
        <v>37.5</v>
      </c>
      <c r="BT5">
        <v>38</v>
      </c>
      <c r="BU5">
        <v>38.5</v>
      </c>
      <c r="BV5">
        <v>39</v>
      </c>
      <c r="BW5">
        <v>39.5</v>
      </c>
      <c r="BX5">
        <v>40</v>
      </c>
      <c r="BY5">
        <v>40.5</v>
      </c>
      <c r="BZ5">
        <v>41</v>
      </c>
      <c r="CA5">
        <v>41.5</v>
      </c>
      <c r="CB5">
        <v>42</v>
      </c>
      <c r="CC5">
        <v>42.5</v>
      </c>
      <c r="CD5">
        <v>43</v>
      </c>
      <c r="CE5">
        <v>43.5</v>
      </c>
      <c r="CF5">
        <v>44</v>
      </c>
      <c r="CG5">
        <v>44.5</v>
      </c>
      <c r="CH5">
        <v>45</v>
      </c>
      <c r="CI5">
        <v>45.5</v>
      </c>
      <c r="CJ5">
        <v>46</v>
      </c>
      <c r="CK5">
        <v>46.5</v>
      </c>
      <c r="CL5">
        <v>47</v>
      </c>
    </row>
    <row r="6" spans="1:90">
      <c r="A6" s="8" t="s">
        <v>1</v>
      </c>
      <c r="O6" t="s">
        <v>40</v>
      </c>
      <c r="P6">
        <f t="shared" ref="P6:AU6" si="0">+$P$4/P5</f>
        <v>8.6773999999997606</v>
      </c>
      <c r="Q6">
        <f t="shared" si="0"/>
        <v>8.2641904761902492</v>
      </c>
      <c r="R6">
        <f t="shared" si="0"/>
        <v>7.8885454545452376</v>
      </c>
      <c r="S6">
        <f t="shared" si="0"/>
        <v>7.545565217391097</v>
      </c>
      <c r="T6">
        <f t="shared" si="0"/>
        <v>7.2311666666664678</v>
      </c>
      <c r="U6">
        <f t="shared" si="0"/>
        <v>6.9419199999998087</v>
      </c>
      <c r="V6">
        <f t="shared" si="0"/>
        <v>6.6749230769228936</v>
      </c>
      <c r="W6">
        <f t="shared" si="0"/>
        <v>6.4277037037035267</v>
      </c>
      <c r="X6">
        <f t="shared" si="0"/>
        <v>6.1981428571426864</v>
      </c>
      <c r="Y6" s="8">
        <f t="shared" si="0"/>
        <v>5.9844137931032835</v>
      </c>
      <c r="Z6">
        <f t="shared" si="0"/>
        <v>5.7849333333331741</v>
      </c>
      <c r="AA6">
        <f t="shared" si="0"/>
        <v>5.5983225806450072</v>
      </c>
      <c r="AB6">
        <f t="shared" si="0"/>
        <v>5.4233749999998508</v>
      </c>
      <c r="AC6">
        <f t="shared" si="0"/>
        <v>5.2590303030301584</v>
      </c>
      <c r="AD6">
        <f t="shared" si="0"/>
        <v>5.1043529411763302</v>
      </c>
      <c r="AE6">
        <f t="shared" si="0"/>
        <v>4.9585142857141493</v>
      </c>
      <c r="AF6">
        <f t="shared" si="0"/>
        <v>4.8207777777776455</v>
      </c>
      <c r="AG6">
        <f t="shared" si="0"/>
        <v>4.6904864864863578</v>
      </c>
      <c r="AH6">
        <f t="shared" si="0"/>
        <v>4.5670526315788216</v>
      </c>
      <c r="AI6">
        <f t="shared" si="0"/>
        <v>4.4499487179485957</v>
      </c>
      <c r="AJ6">
        <f t="shared" si="0"/>
        <v>4.3386999999998803</v>
      </c>
      <c r="AK6" s="8">
        <f t="shared" si="0"/>
        <v>4.2328780487803712</v>
      </c>
      <c r="AL6">
        <f t="shared" si="0"/>
        <v>4.1320952380951246</v>
      </c>
      <c r="AM6">
        <f t="shared" si="0"/>
        <v>4.0359999999998886</v>
      </c>
      <c r="AN6">
        <f t="shared" si="0"/>
        <v>3.9442727272726188</v>
      </c>
      <c r="AO6">
        <f t="shared" si="0"/>
        <v>3.856622222222116</v>
      </c>
      <c r="AP6">
        <f t="shared" si="0"/>
        <v>3.7727826086955485</v>
      </c>
      <c r="AQ6">
        <f t="shared" si="0"/>
        <v>3.6925106382977706</v>
      </c>
      <c r="AR6">
        <f t="shared" si="0"/>
        <v>3.6155833333332339</v>
      </c>
      <c r="AS6">
        <f t="shared" si="0"/>
        <v>3.5417959183672494</v>
      </c>
      <c r="AT6">
        <f t="shared" si="0"/>
        <v>3.4709599999999043</v>
      </c>
      <c r="AU6">
        <f t="shared" si="0"/>
        <v>3.4029019607842201</v>
      </c>
      <c r="AV6">
        <f t="shared" ref="AV6:CA6" si="1">+$P$4/AV5</f>
        <v>3.3374615384614468</v>
      </c>
      <c r="AW6">
        <f t="shared" si="1"/>
        <v>3.2744905660376458</v>
      </c>
      <c r="AX6">
        <f t="shared" si="1"/>
        <v>3.2138518518517634</v>
      </c>
      <c r="AY6">
        <f t="shared" si="1"/>
        <v>3.1554181818180949</v>
      </c>
      <c r="AZ6">
        <f t="shared" si="1"/>
        <v>3.0990714285713432</v>
      </c>
      <c r="BA6">
        <f t="shared" si="1"/>
        <v>3.0447017543858812</v>
      </c>
      <c r="BB6" s="8">
        <f t="shared" si="1"/>
        <v>2.9922068965516417</v>
      </c>
      <c r="BC6">
        <f t="shared" si="1"/>
        <v>2.9414915254236478</v>
      </c>
      <c r="BD6">
        <f t="shared" si="1"/>
        <v>2.892466666666587</v>
      </c>
      <c r="BE6">
        <f t="shared" si="1"/>
        <v>2.8450491803277904</v>
      </c>
      <c r="BF6">
        <f t="shared" si="1"/>
        <v>2.7991612903225036</v>
      </c>
      <c r="BG6">
        <f t="shared" si="1"/>
        <v>2.7547301587300828</v>
      </c>
      <c r="BH6" s="8">
        <f t="shared" si="1"/>
        <v>2.7116874999999254</v>
      </c>
      <c r="BI6">
        <f t="shared" si="1"/>
        <v>2.6699692307691572</v>
      </c>
      <c r="BJ6">
        <f t="shared" si="1"/>
        <v>2.6295151515150792</v>
      </c>
      <c r="BK6">
        <f t="shared" si="1"/>
        <v>2.5902686567163467</v>
      </c>
      <c r="BL6">
        <f t="shared" si="1"/>
        <v>2.5521764705881651</v>
      </c>
      <c r="BM6">
        <f t="shared" si="1"/>
        <v>2.5151884057970322</v>
      </c>
      <c r="BN6">
        <f t="shared" si="1"/>
        <v>2.4792571428570747</v>
      </c>
      <c r="BO6">
        <f t="shared" si="1"/>
        <v>2.4443380281689469</v>
      </c>
      <c r="BP6">
        <f t="shared" si="1"/>
        <v>2.4103888888888227</v>
      </c>
      <c r="BQ6">
        <f t="shared" si="1"/>
        <v>2.3773698630136333</v>
      </c>
      <c r="BR6">
        <f t="shared" si="1"/>
        <v>2.3452432432431789</v>
      </c>
      <c r="BS6">
        <f t="shared" si="1"/>
        <v>2.3139733333332697</v>
      </c>
      <c r="BT6">
        <f t="shared" si="1"/>
        <v>2.2835263157894108</v>
      </c>
      <c r="BU6">
        <f t="shared" si="1"/>
        <v>2.2538701298700681</v>
      </c>
      <c r="BV6">
        <f t="shared" si="1"/>
        <v>2.2249743589742979</v>
      </c>
      <c r="BW6">
        <f t="shared" si="1"/>
        <v>2.1968101265822182</v>
      </c>
      <c r="BX6">
        <f t="shared" si="1"/>
        <v>2.1693499999999402</v>
      </c>
      <c r="BY6">
        <f t="shared" si="1"/>
        <v>2.1425679012345089</v>
      </c>
      <c r="BZ6">
        <f t="shared" si="1"/>
        <v>2.1164390243901856</v>
      </c>
      <c r="CA6">
        <f t="shared" si="1"/>
        <v>2.090939759036087</v>
      </c>
      <c r="CB6">
        <f t="shared" ref="CB6:CL6" si="2">+$P$4/CB5</f>
        <v>2.0660476190475623</v>
      </c>
      <c r="CC6">
        <f t="shared" si="2"/>
        <v>2.041741176470532</v>
      </c>
      <c r="CD6">
        <f t="shared" si="2"/>
        <v>2.0179999999999443</v>
      </c>
      <c r="CE6" s="8">
        <f t="shared" si="2"/>
        <v>1.9948045977010946</v>
      </c>
      <c r="CF6">
        <f t="shared" si="2"/>
        <v>1.9721363636363094</v>
      </c>
      <c r="CG6">
        <f t="shared" si="2"/>
        <v>1.9499775280898339</v>
      </c>
      <c r="CH6">
        <f t="shared" si="2"/>
        <v>1.928311111111058</v>
      </c>
      <c r="CI6">
        <f t="shared" si="2"/>
        <v>1.9071208791208267</v>
      </c>
      <c r="CJ6">
        <f t="shared" si="2"/>
        <v>1.8863913043477742</v>
      </c>
      <c r="CK6">
        <f t="shared" si="2"/>
        <v>1.8661075268816691</v>
      </c>
      <c r="CL6">
        <f t="shared" si="2"/>
        <v>1.8462553191488853</v>
      </c>
    </row>
    <row r="7" spans="1:90">
      <c r="A7" t="s">
        <v>2</v>
      </c>
      <c r="C7">
        <f>+C4</f>
        <v>26024.325000000001</v>
      </c>
      <c r="O7" t="s">
        <v>41</v>
      </c>
      <c r="P7">
        <v>3.8608049368401378</v>
      </c>
      <c r="Q7">
        <v>7.7261822465463847</v>
      </c>
      <c r="R7">
        <v>9.8135863717004472</v>
      </c>
      <c r="S7">
        <v>7.6320060834404035</v>
      </c>
      <c r="T7">
        <v>2.2833171746703576</v>
      </c>
      <c r="U7">
        <v>7.8267864426460516</v>
      </c>
      <c r="V7">
        <v>4.228317664515953</v>
      </c>
      <c r="W7">
        <v>8.9744946819648259</v>
      </c>
      <c r="X7">
        <v>6.5246257363191207</v>
      </c>
      <c r="Y7">
        <v>2.3098324892434277</v>
      </c>
      <c r="Z7">
        <v>3.8737044541173971</v>
      </c>
      <c r="AA7">
        <v>5.2040653417520177</v>
      </c>
      <c r="AB7">
        <v>3.0404842386153228</v>
      </c>
      <c r="AC7">
        <v>3.3241595971942504</v>
      </c>
      <c r="AD7">
        <v>3.535255546635498</v>
      </c>
      <c r="AE7">
        <v>2.7390106477601064</v>
      </c>
      <c r="AF7">
        <v>2.0605636335872446</v>
      </c>
      <c r="AG7">
        <v>4.9651976031716751</v>
      </c>
      <c r="AH7">
        <v>3.8502446798082826</v>
      </c>
      <c r="AI7">
        <v>1.6320077838162974</v>
      </c>
      <c r="AJ7">
        <v>1.7216431517292277</v>
      </c>
      <c r="AK7" s="18">
        <v>2.7263598977194574</v>
      </c>
      <c r="AL7">
        <v>2.7436694001977471</v>
      </c>
      <c r="AM7">
        <v>0.95934967556468131</v>
      </c>
      <c r="AN7">
        <v>1.4136121640604853</v>
      </c>
      <c r="AO7">
        <v>1.230034740236186</v>
      </c>
      <c r="AP7">
        <v>1.2078899071968539</v>
      </c>
      <c r="AQ7">
        <v>1.712034635023767</v>
      </c>
      <c r="AR7">
        <v>1.5062526246736807</v>
      </c>
      <c r="AS7" s="8">
        <v>1.4900255688800328</v>
      </c>
      <c r="AT7" s="8">
        <v>1.0924777192894102</v>
      </c>
      <c r="AU7">
        <v>1.7471801774514895</v>
      </c>
      <c r="AV7">
        <v>3.0503296555584063</v>
      </c>
      <c r="AW7">
        <v>1.9137023756171472</v>
      </c>
      <c r="AX7">
        <v>2.2760635691588003</v>
      </c>
      <c r="AY7">
        <v>1.0362749728866354</v>
      </c>
      <c r="AZ7">
        <v>1.2125970125282122</v>
      </c>
      <c r="BA7">
        <v>1.5016520721716788</v>
      </c>
      <c r="BB7">
        <v>0.39746217738617862</v>
      </c>
      <c r="BC7">
        <v>0.4749010446249135</v>
      </c>
      <c r="BD7">
        <v>0.80815283378891145</v>
      </c>
      <c r="BE7">
        <v>0.83102984417993708</v>
      </c>
      <c r="BF7">
        <v>1.5147368931678618</v>
      </c>
      <c r="BG7">
        <v>0.64384571316392403</v>
      </c>
      <c r="BH7">
        <v>0.65300947671490583</v>
      </c>
      <c r="BI7">
        <v>0.75226854805151278</v>
      </c>
      <c r="BJ7">
        <v>0.61072714550729112</v>
      </c>
      <c r="BK7">
        <v>0.99381731475415913</v>
      </c>
      <c r="BL7">
        <v>0.96570395228028583</v>
      </c>
      <c r="BM7">
        <v>0.68662334831462601</v>
      </c>
      <c r="BN7">
        <v>1.1050215481608041</v>
      </c>
      <c r="BO7">
        <v>0.80581203106337296</v>
      </c>
      <c r="BP7">
        <v>0.83150616636032948</v>
      </c>
      <c r="BQ7">
        <v>0.70492574495253724</v>
      </c>
      <c r="BR7">
        <v>0.42740960126767591</v>
      </c>
      <c r="BS7">
        <v>0.70427649007631121</v>
      </c>
      <c r="BT7">
        <v>0.49010213227728566</v>
      </c>
      <c r="BU7">
        <v>0.74319045853323484</v>
      </c>
      <c r="BV7">
        <v>0.20640272722959527</v>
      </c>
      <c r="BW7">
        <v>0.15842315621193559</v>
      </c>
      <c r="BX7">
        <v>0.87724460997439324</v>
      </c>
      <c r="BY7">
        <v>0.68610143388016309</v>
      </c>
      <c r="BZ7">
        <v>0.44224968352398175</v>
      </c>
      <c r="CA7">
        <v>0.93273400344837065</v>
      </c>
      <c r="CB7">
        <v>0.360417982692946</v>
      </c>
      <c r="CC7">
        <v>0.44516682287792836</v>
      </c>
      <c r="CD7">
        <v>0.88985520091502757</v>
      </c>
      <c r="CE7">
        <v>0.54371412671469932</v>
      </c>
      <c r="CF7">
        <v>0.61297782086098873</v>
      </c>
      <c r="CG7">
        <v>0.44368446703582598</v>
      </c>
      <c r="CH7">
        <v>0.74725937275814602</v>
      </c>
      <c r="CI7">
        <v>0.70863732171866511</v>
      </c>
      <c r="CJ7">
        <v>0.37767859373119822</v>
      </c>
      <c r="CK7">
        <v>0.56833594668322651</v>
      </c>
      <c r="CL7">
        <v>0.12817543632745643</v>
      </c>
    </row>
    <row r="8" spans="1:90">
      <c r="A8" t="s">
        <v>3</v>
      </c>
      <c r="C8">
        <v>4.2328780487803712</v>
      </c>
    </row>
    <row r="9" spans="1:90">
      <c r="A9" t="s">
        <v>41</v>
      </c>
      <c r="D9">
        <f>SUM(R21:R29)</f>
        <v>0.89432639983614404</v>
      </c>
    </row>
    <row r="10" spans="1:90" ht="13.5" thickBot="1">
      <c r="C10" s="7" t="s">
        <v>20</v>
      </c>
      <c r="D10" s="7" t="s">
        <v>21</v>
      </c>
    </row>
    <row r="11" spans="1:90">
      <c r="A11" t="s">
        <v>16</v>
      </c>
      <c r="C11">
        <f>INTERCEPT(G21:G92,F21:F92)</f>
        <v>4.614290071664553</v>
      </c>
      <c r="D11" s="6"/>
    </row>
    <row r="12" spans="1:90">
      <c r="A12" t="s">
        <v>17</v>
      </c>
      <c r="C12">
        <f>SLOPE(G21:G92,F21:F92)</f>
        <v>-7.3277307343239085E-4</v>
      </c>
      <c r="D12" s="6"/>
    </row>
    <row r="13" spans="1:90">
      <c r="A13" t="s">
        <v>19</v>
      </c>
      <c r="C13" s="6" t="s">
        <v>14</v>
      </c>
      <c r="D13" s="6"/>
    </row>
    <row r="14" spans="1:90">
      <c r="A14" t="s">
        <v>24</v>
      </c>
    </row>
    <row r="15" spans="1:90">
      <c r="A15" s="5" t="s">
        <v>18</v>
      </c>
      <c r="C15">
        <f>+C7+C11</f>
        <v>26028.939290071667</v>
      </c>
    </row>
    <row r="16" spans="1:90">
      <c r="A16" s="8" t="s">
        <v>4</v>
      </c>
      <c r="C16">
        <f>+C8+C12</f>
        <v>4.2321452757069391</v>
      </c>
    </row>
    <row r="17" spans="1:19" ht="13.5" thickBot="1"/>
    <row r="18" spans="1:19">
      <c r="A18" s="8" t="s">
        <v>5</v>
      </c>
      <c r="C18" s="3">
        <f>+C15</f>
        <v>26028.939290071667</v>
      </c>
      <c r="D18" s="4">
        <f>+C16</f>
        <v>4.2321452757069391</v>
      </c>
    </row>
    <row r="19" spans="1:19" ht="13.5" thickTop="1"/>
    <row r="20" spans="1:19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35</v>
      </c>
      <c r="J20" s="10" t="s">
        <v>36</v>
      </c>
      <c r="K20" s="10" t="s">
        <v>37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9">
      <c r="A21" t="s">
        <v>12</v>
      </c>
      <c r="C21">
        <v>26024.325000000001</v>
      </c>
      <c r="D21" s="6" t="s">
        <v>14</v>
      </c>
      <c r="E21">
        <f t="shared" ref="E21:E29" si="3">+(C21-C$7)/C$8</f>
        <v>0</v>
      </c>
      <c r="F21" s="16">
        <f>ROUND(2*E21,0)/2-1</f>
        <v>-1</v>
      </c>
      <c r="G21">
        <f t="shared" ref="G21:G29" si="4">+C21-(C$7+F21*C$8)</f>
        <v>4.2328780487805489</v>
      </c>
      <c r="H21">
        <f>+G21</f>
        <v>4.2328780487805489</v>
      </c>
      <c r="O21">
        <f t="shared" ref="O21:O29" si="5">+C$11+C$12*F21</f>
        <v>4.6150228447379851</v>
      </c>
      <c r="Q21" s="2">
        <f t="shared" ref="Q21:Q29" si="6">+C21-15018.5</f>
        <v>11005.825000000001</v>
      </c>
      <c r="R21">
        <f t="shared" ref="R21:R29" si="7">+(O21-G21)^2</f>
        <v>0.14603464507735056</v>
      </c>
      <c r="S21">
        <f>SQRT(R21)</f>
        <v>0.38214479595743622</v>
      </c>
    </row>
    <row r="22" spans="1:19">
      <c r="A22" t="s">
        <v>31</v>
      </c>
      <c r="C22" s="14">
        <v>35922.233999999997</v>
      </c>
      <c r="D22" s="6"/>
      <c r="E22">
        <f t="shared" si="3"/>
        <v>2338.3402228778841</v>
      </c>
      <c r="F22" s="16">
        <f>ROUND(2*E22,0)/2-1</f>
        <v>2337.5</v>
      </c>
      <c r="G22">
        <f t="shared" si="4"/>
        <v>3.556560975877801</v>
      </c>
      <c r="N22">
        <f>G22</f>
        <v>3.556560975877801</v>
      </c>
      <c r="O22">
        <f t="shared" si="5"/>
        <v>2.9014330125163394</v>
      </c>
      <c r="Q22" s="2">
        <f t="shared" si="6"/>
        <v>20903.733999999997</v>
      </c>
      <c r="R22">
        <f t="shared" si="7"/>
        <v>0.42919264837813648</v>
      </c>
      <c r="S22" s="17">
        <f t="shared" ref="S22:S29" si="8">SQRT(R22)</f>
        <v>0.65512796336146151</v>
      </c>
    </row>
    <row r="23" spans="1:19">
      <c r="A23" t="s">
        <v>32</v>
      </c>
      <c r="C23" s="14">
        <v>36541.595000000001</v>
      </c>
      <c r="D23" s="6"/>
      <c r="E23">
        <f t="shared" si="3"/>
        <v>2484.6617074239512</v>
      </c>
      <c r="F23" s="16">
        <f>ROUND(2*E23,0)/2-0.5</f>
        <v>2484</v>
      </c>
      <c r="G23">
        <f t="shared" si="4"/>
        <v>2.8009268295572838</v>
      </c>
      <c r="N23">
        <f>G23</f>
        <v>2.8009268295572838</v>
      </c>
      <c r="O23">
        <f t="shared" si="5"/>
        <v>2.7940817572584944</v>
      </c>
      <c r="Q23" s="2">
        <f t="shared" si="6"/>
        <v>21523.095000000001</v>
      </c>
      <c r="R23">
        <f t="shared" si="7"/>
        <v>4.6855014775653863E-5</v>
      </c>
      <c r="S23">
        <f t="shared" si="8"/>
        <v>6.8450722987893897E-3</v>
      </c>
    </row>
    <row r="24" spans="1:19">
      <c r="A24" t="s">
        <v>32</v>
      </c>
      <c r="C24" s="14">
        <v>36628.368999999999</v>
      </c>
      <c r="D24" s="6"/>
      <c r="E24">
        <f t="shared" si="3"/>
        <v>2505.1617074239512</v>
      </c>
      <c r="F24" s="16">
        <f>ROUND(2*E24,0)/2-0.5</f>
        <v>2504.5</v>
      </c>
      <c r="G24">
        <f t="shared" si="4"/>
        <v>2.8009268295572838</v>
      </c>
      <c r="N24">
        <f>G24</f>
        <v>2.8009268295572838</v>
      </c>
      <c r="O24">
        <f t="shared" si="5"/>
        <v>2.7790599092531298</v>
      </c>
      <c r="Q24" s="2">
        <f t="shared" si="6"/>
        <v>21609.868999999999</v>
      </c>
      <c r="R24">
        <f t="shared" si="7"/>
        <v>4.7816220358821965E-4</v>
      </c>
      <c r="S24">
        <f t="shared" si="8"/>
        <v>2.1866920304153936E-2</v>
      </c>
    </row>
    <row r="25" spans="1:19">
      <c r="A25" t="s">
        <v>33</v>
      </c>
      <c r="C25" s="14">
        <v>45001.3</v>
      </c>
      <c r="D25" s="6"/>
      <c r="E25">
        <f t="shared" si="3"/>
        <v>4483.2321605551288</v>
      </c>
      <c r="F25">
        <f>ROUND(2*E25,0)/2</f>
        <v>4483</v>
      </c>
      <c r="G25">
        <f t="shared" si="4"/>
        <v>0.98270731759839691</v>
      </c>
      <c r="I25">
        <f>G25</f>
        <v>0.98270731759839691</v>
      </c>
      <c r="O25">
        <f t="shared" si="5"/>
        <v>1.3292683834671446</v>
      </c>
      <c r="Q25" s="2">
        <f t="shared" si="6"/>
        <v>29982.800000000003</v>
      </c>
      <c r="R25">
        <f t="shared" si="7"/>
        <v>0.12010457237608248</v>
      </c>
      <c r="S25">
        <f t="shared" si="8"/>
        <v>0.34656106586874769</v>
      </c>
    </row>
    <row r="26" spans="1:19">
      <c r="A26" t="s">
        <v>38</v>
      </c>
      <c r="C26" s="14">
        <v>48986.4931</v>
      </c>
      <c r="D26" s="6"/>
      <c r="E26">
        <f t="shared" si="3"/>
        <v>5424.7176118424059</v>
      </c>
      <c r="F26">
        <f>ROUND(2*E26,0)/2</f>
        <v>5424.5</v>
      </c>
      <c r="G26">
        <f t="shared" si="4"/>
        <v>0.92112439087213716</v>
      </c>
      <c r="K26">
        <f>G26</f>
        <v>0.92112439087213716</v>
      </c>
      <c r="O26">
        <f t="shared" si="5"/>
        <v>0.63936253483054895</v>
      </c>
      <c r="Q26" s="2">
        <f t="shared" si="6"/>
        <v>33967.9931</v>
      </c>
      <c r="R26">
        <f t="shared" si="7"/>
        <v>7.938974352000068E-2</v>
      </c>
      <c r="S26">
        <f t="shared" si="8"/>
        <v>0.28176185604158821</v>
      </c>
    </row>
    <row r="27" spans="1:19">
      <c r="A27" t="s">
        <v>34</v>
      </c>
      <c r="C27" s="14">
        <v>49809.52</v>
      </c>
      <c r="D27" s="6"/>
      <c r="E27">
        <f t="shared" si="3"/>
        <v>5619.1543261808074</v>
      </c>
      <c r="F27">
        <f>ROUND(2*E27,0)/2</f>
        <v>5619</v>
      </c>
      <c r="G27">
        <f t="shared" si="4"/>
        <v>0.65324390309251612</v>
      </c>
      <c r="J27">
        <f>G27</f>
        <v>0.65324390309251612</v>
      </c>
      <c r="O27">
        <f t="shared" si="5"/>
        <v>0.49683817204794867</v>
      </c>
      <c r="Q27" s="2">
        <f t="shared" si="6"/>
        <v>34791.019999999997</v>
      </c>
      <c r="R27">
        <f t="shared" si="7"/>
        <v>2.4462752703585573E-2</v>
      </c>
      <c r="S27">
        <f t="shared" si="8"/>
        <v>0.15640573104456745</v>
      </c>
    </row>
    <row r="28" spans="1:19">
      <c r="A28" t="s">
        <v>30</v>
      </c>
      <c r="B28" s="11"/>
      <c r="C28" s="13">
        <v>52369.5219</v>
      </c>
      <c r="D28" s="13">
        <v>5.0000000000000001E-4</v>
      </c>
      <c r="E28">
        <f t="shared" si="3"/>
        <v>6223.9442281099737</v>
      </c>
      <c r="F28">
        <f>ROUND(2*E28,0)/2</f>
        <v>6224</v>
      </c>
      <c r="G28">
        <f t="shared" si="4"/>
        <v>-0.23607560902746627</v>
      </c>
      <c r="H28" s="11"/>
      <c r="I28" s="6"/>
      <c r="J28" s="6"/>
      <c r="K28">
        <f>G28</f>
        <v>-0.23607560902746627</v>
      </c>
      <c r="O28">
        <f t="shared" si="5"/>
        <v>5.3510462621352062E-2</v>
      </c>
      <c r="Q28" s="2">
        <f t="shared" si="6"/>
        <v>37351.0219</v>
      </c>
      <c r="R28">
        <f t="shared" si="7"/>
        <v>8.386009289299455E-2</v>
      </c>
      <c r="S28">
        <f t="shared" si="8"/>
        <v>0.28958607164881833</v>
      </c>
    </row>
    <row r="29" spans="1:19">
      <c r="A29" t="s">
        <v>30</v>
      </c>
      <c r="B29" s="12"/>
      <c r="C29" s="13">
        <v>52746.368699999999</v>
      </c>
      <c r="D29" s="13">
        <v>2.0000000000000001E-4</v>
      </c>
      <c r="E29">
        <f t="shared" si="3"/>
        <v>6312.9727320397242</v>
      </c>
      <c r="F29">
        <f>ROUND(2*E29,0)/2</f>
        <v>6313</v>
      </c>
      <c r="G29">
        <f t="shared" si="4"/>
        <v>-0.11542195048969006</v>
      </c>
      <c r="H29" s="11"/>
      <c r="I29" s="12"/>
      <c r="J29" s="6"/>
      <c r="K29">
        <f>G29</f>
        <v>-0.11542195048969006</v>
      </c>
      <c r="O29">
        <f t="shared" si="5"/>
        <v>-1.1706340914130919E-2</v>
      </c>
      <c r="Q29" s="2">
        <f t="shared" si="6"/>
        <v>37727.868699999999</v>
      </c>
      <c r="R29">
        <f t="shared" si="7"/>
        <v>1.0756927669629815E-2</v>
      </c>
      <c r="S29">
        <f t="shared" si="8"/>
        <v>0.10371560957555914</v>
      </c>
    </row>
    <row r="30" spans="1:19">
      <c r="D30" s="6"/>
    </row>
    <row r="31" spans="1:19">
      <c r="D31" s="6"/>
    </row>
    <row r="32" spans="1:19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L45"/>
  <sheetViews>
    <sheetView workbookViewId="0">
      <selection activeCell="C2" sqref="C2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9.5703125" customWidth="1"/>
    <col min="16" max="16" width="7.7109375" customWidth="1"/>
    <col min="17" max="17" width="9.85546875" customWidth="1"/>
  </cols>
  <sheetData>
    <row r="1" spans="1:90" ht="20.25">
      <c r="A1" s="1" t="s">
        <v>29</v>
      </c>
      <c r="C1" s="17" t="s">
        <v>46</v>
      </c>
    </row>
    <row r="2" spans="1:90">
      <c r="A2" t="s">
        <v>25</v>
      </c>
      <c r="P2" s="15">
        <v>36541.595000000001</v>
      </c>
      <c r="BI2" t="s">
        <v>43</v>
      </c>
    </row>
    <row r="3" spans="1:90" ht="13.5" thickBot="1">
      <c r="P3" s="15">
        <v>36628.368999999999</v>
      </c>
      <c r="BH3" t="s">
        <v>42</v>
      </c>
    </row>
    <row r="4" spans="1:90">
      <c r="A4" s="8" t="s">
        <v>0</v>
      </c>
      <c r="C4" s="3">
        <v>26024.325000000001</v>
      </c>
      <c r="D4" s="4">
        <v>4.3316549999999996</v>
      </c>
      <c r="P4">
        <f>+P3-P2</f>
        <v>86.773999999997613</v>
      </c>
    </row>
    <row r="5" spans="1:90">
      <c r="O5" t="s">
        <v>39</v>
      </c>
      <c r="P5">
        <v>10</v>
      </c>
      <c r="Q5">
        <v>10.5</v>
      </c>
      <c r="R5">
        <v>11</v>
      </c>
      <c r="S5">
        <v>11.5</v>
      </c>
      <c r="T5">
        <v>12</v>
      </c>
      <c r="U5">
        <v>12.5</v>
      </c>
      <c r="V5">
        <v>13</v>
      </c>
      <c r="W5">
        <v>13.5</v>
      </c>
      <c r="X5">
        <v>14</v>
      </c>
      <c r="Y5">
        <v>14.5</v>
      </c>
      <c r="Z5">
        <v>15</v>
      </c>
      <c r="AA5">
        <v>15.5</v>
      </c>
      <c r="AB5">
        <v>16</v>
      </c>
      <c r="AC5">
        <v>16.5</v>
      </c>
      <c r="AD5">
        <v>17</v>
      </c>
      <c r="AE5">
        <v>17.5</v>
      </c>
      <c r="AF5">
        <v>18</v>
      </c>
      <c r="AG5">
        <v>18.5</v>
      </c>
      <c r="AH5">
        <v>19</v>
      </c>
      <c r="AI5">
        <v>19.5</v>
      </c>
      <c r="AJ5">
        <v>20</v>
      </c>
      <c r="AK5">
        <v>20.5</v>
      </c>
      <c r="AL5">
        <v>21</v>
      </c>
      <c r="AM5">
        <v>21.5</v>
      </c>
      <c r="AN5">
        <v>22</v>
      </c>
      <c r="AO5">
        <v>22.5</v>
      </c>
      <c r="AP5">
        <v>23</v>
      </c>
      <c r="AQ5">
        <v>23.5</v>
      </c>
      <c r="AR5">
        <v>24</v>
      </c>
      <c r="AS5">
        <v>24.5</v>
      </c>
      <c r="AT5">
        <v>25</v>
      </c>
      <c r="AU5">
        <v>25.5</v>
      </c>
      <c r="AV5">
        <v>26</v>
      </c>
      <c r="AW5">
        <v>26.5</v>
      </c>
      <c r="AX5">
        <v>27</v>
      </c>
      <c r="AY5">
        <v>27.5</v>
      </c>
      <c r="AZ5">
        <v>28</v>
      </c>
      <c r="BA5">
        <v>28.5</v>
      </c>
      <c r="BB5">
        <v>29</v>
      </c>
      <c r="BC5">
        <v>29.5</v>
      </c>
      <c r="BD5">
        <v>30</v>
      </c>
      <c r="BE5">
        <v>30.5</v>
      </c>
      <c r="BF5">
        <v>31</v>
      </c>
      <c r="BG5">
        <v>31.5</v>
      </c>
      <c r="BH5">
        <v>32</v>
      </c>
      <c r="BI5">
        <v>32.5</v>
      </c>
      <c r="BJ5">
        <v>33</v>
      </c>
      <c r="BK5">
        <v>33.5</v>
      </c>
      <c r="BL5">
        <v>34</v>
      </c>
      <c r="BM5">
        <v>34.5</v>
      </c>
      <c r="BN5">
        <v>35</v>
      </c>
      <c r="BO5">
        <v>35.5</v>
      </c>
      <c r="BP5">
        <v>36</v>
      </c>
      <c r="BQ5">
        <v>36.5</v>
      </c>
      <c r="BR5">
        <v>37</v>
      </c>
      <c r="BS5">
        <v>37.5</v>
      </c>
      <c r="BT5">
        <v>38</v>
      </c>
      <c r="BU5">
        <v>38.5</v>
      </c>
      <c r="BV5">
        <v>39</v>
      </c>
      <c r="BW5">
        <v>39.5</v>
      </c>
      <c r="BX5">
        <v>40</v>
      </c>
      <c r="BY5">
        <v>40.5</v>
      </c>
      <c r="BZ5">
        <v>41</v>
      </c>
      <c r="CA5">
        <v>41.5</v>
      </c>
      <c r="CB5">
        <v>42</v>
      </c>
      <c r="CC5">
        <v>42.5</v>
      </c>
      <c r="CD5">
        <v>43</v>
      </c>
      <c r="CE5">
        <v>43.5</v>
      </c>
      <c r="CF5">
        <v>44</v>
      </c>
      <c r="CG5">
        <v>44.5</v>
      </c>
      <c r="CH5">
        <v>45</v>
      </c>
      <c r="CI5">
        <v>45.5</v>
      </c>
      <c r="CJ5">
        <v>46</v>
      </c>
      <c r="CK5">
        <v>46.5</v>
      </c>
      <c r="CL5">
        <v>47</v>
      </c>
    </row>
    <row r="6" spans="1:90">
      <c r="A6" s="8" t="s">
        <v>1</v>
      </c>
      <c r="O6" t="s">
        <v>40</v>
      </c>
      <c r="P6">
        <f t="shared" ref="P6:AU6" si="0">+$P$4/P5</f>
        <v>8.6773999999997606</v>
      </c>
      <c r="Q6">
        <f t="shared" si="0"/>
        <v>8.2641904761902492</v>
      </c>
      <c r="R6">
        <f t="shared" si="0"/>
        <v>7.8885454545452376</v>
      </c>
      <c r="S6">
        <f t="shared" si="0"/>
        <v>7.545565217391097</v>
      </c>
      <c r="T6">
        <f t="shared" si="0"/>
        <v>7.2311666666664678</v>
      </c>
      <c r="U6">
        <f t="shared" si="0"/>
        <v>6.9419199999998087</v>
      </c>
      <c r="V6">
        <f t="shared" si="0"/>
        <v>6.6749230769228936</v>
      </c>
      <c r="W6">
        <f t="shared" si="0"/>
        <v>6.4277037037035267</v>
      </c>
      <c r="X6">
        <f t="shared" si="0"/>
        <v>6.1981428571426864</v>
      </c>
      <c r="Y6" s="8">
        <f t="shared" si="0"/>
        <v>5.9844137931032835</v>
      </c>
      <c r="Z6">
        <f t="shared" si="0"/>
        <v>5.7849333333331741</v>
      </c>
      <c r="AA6">
        <f t="shared" si="0"/>
        <v>5.5983225806450072</v>
      </c>
      <c r="AB6">
        <f t="shared" si="0"/>
        <v>5.4233749999998508</v>
      </c>
      <c r="AC6">
        <f t="shared" si="0"/>
        <v>5.2590303030301584</v>
      </c>
      <c r="AD6">
        <f t="shared" si="0"/>
        <v>5.1043529411763302</v>
      </c>
      <c r="AE6">
        <f t="shared" si="0"/>
        <v>4.9585142857141493</v>
      </c>
      <c r="AF6">
        <f t="shared" si="0"/>
        <v>4.8207777777776455</v>
      </c>
      <c r="AG6">
        <f t="shared" si="0"/>
        <v>4.6904864864863578</v>
      </c>
      <c r="AH6">
        <f t="shared" si="0"/>
        <v>4.5670526315788216</v>
      </c>
      <c r="AI6">
        <f t="shared" si="0"/>
        <v>4.4499487179485957</v>
      </c>
      <c r="AJ6">
        <f t="shared" si="0"/>
        <v>4.3386999999998803</v>
      </c>
      <c r="AK6" s="8">
        <f t="shared" si="0"/>
        <v>4.2328780487803712</v>
      </c>
      <c r="AL6">
        <f t="shared" si="0"/>
        <v>4.1320952380951246</v>
      </c>
      <c r="AM6">
        <f t="shared" si="0"/>
        <v>4.0359999999998886</v>
      </c>
      <c r="AN6">
        <f t="shared" si="0"/>
        <v>3.9442727272726188</v>
      </c>
      <c r="AO6">
        <f t="shared" si="0"/>
        <v>3.856622222222116</v>
      </c>
      <c r="AP6">
        <f t="shared" si="0"/>
        <v>3.7727826086955485</v>
      </c>
      <c r="AQ6">
        <f t="shared" si="0"/>
        <v>3.6925106382977706</v>
      </c>
      <c r="AR6">
        <f t="shared" si="0"/>
        <v>3.6155833333332339</v>
      </c>
      <c r="AS6" s="18">
        <f t="shared" si="0"/>
        <v>3.5417959183672494</v>
      </c>
      <c r="AT6" s="8">
        <f t="shared" si="0"/>
        <v>3.4709599999999043</v>
      </c>
      <c r="AU6">
        <f t="shared" si="0"/>
        <v>3.4029019607842201</v>
      </c>
      <c r="AV6">
        <f t="shared" ref="AV6:CA6" si="1">+$P$4/AV5</f>
        <v>3.3374615384614468</v>
      </c>
      <c r="AW6">
        <f t="shared" si="1"/>
        <v>3.2744905660376458</v>
      </c>
      <c r="AX6">
        <f t="shared" si="1"/>
        <v>3.2138518518517634</v>
      </c>
      <c r="AY6">
        <f t="shared" si="1"/>
        <v>3.1554181818180949</v>
      </c>
      <c r="AZ6">
        <f t="shared" si="1"/>
        <v>3.0990714285713432</v>
      </c>
      <c r="BA6">
        <f t="shared" si="1"/>
        <v>3.0447017543858812</v>
      </c>
      <c r="BB6" s="8">
        <f t="shared" si="1"/>
        <v>2.9922068965516417</v>
      </c>
      <c r="BC6">
        <f t="shared" si="1"/>
        <v>2.9414915254236478</v>
      </c>
      <c r="BD6">
        <f t="shared" si="1"/>
        <v>2.892466666666587</v>
      </c>
      <c r="BE6">
        <f t="shared" si="1"/>
        <v>2.8450491803277904</v>
      </c>
      <c r="BF6">
        <f t="shared" si="1"/>
        <v>2.7991612903225036</v>
      </c>
      <c r="BG6">
        <f t="shared" si="1"/>
        <v>2.7547301587300828</v>
      </c>
      <c r="BH6" s="8">
        <f t="shared" si="1"/>
        <v>2.7116874999999254</v>
      </c>
      <c r="BI6">
        <f t="shared" si="1"/>
        <v>2.6699692307691572</v>
      </c>
      <c r="BJ6">
        <f t="shared" si="1"/>
        <v>2.6295151515150792</v>
      </c>
      <c r="BK6">
        <f t="shared" si="1"/>
        <v>2.5902686567163467</v>
      </c>
      <c r="BL6">
        <f t="shared" si="1"/>
        <v>2.5521764705881651</v>
      </c>
      <c r="BM6">
        <f t="shared" si="1"/>
        <v>2.5151884057970322</v>
      </c>
      <c r="BN6">
        <f t="shared" si="1"/>
        <v>2.4792571428570747</v>
      </c>
      <c r="BO6">
        <f t="shared" si="1"/>
        <v>2.4443380281689469</v>
      </c>
      <c r="BP6">
        <f t="shared" si="1"/>
        <v>2.4103888888888227</v>
      </c>
      <c r="BQ6">
        <f t="shared" si="1"/>
        <v>2.3773698630136333</v>
      </c>
      <c r="BR6">
        <f t="shared" si="1"/>
        <v>2.3452432432431789</v>
      </c>
      <c r="BS6">
        <f t="shared" si="1"/>
        <v>2.3139733333332697</v>
      </c>
      <c r="BT6">
        <f t="shared" si="1"/>
        <v>2.2835263157894108</v>
      </c>
      <c r="BU6">
        <f t="shared" si="1"/>
        <v>2.2538701298700681</v>
      </c>
      <c r="BV6">
        <f t="shared" si="1"/>
        <v>2.2249743589742979</v>
      </c>
      <c r="BW6">
        <f t="shared" si="1"/>
        <v>2.1968101265822182</v>
      </c>
      <c r="BX6">
        <f t="shared" si="1"/>
        <v>2.1693499999999402</v>
      </c>
      <c r="BY6">
        <f t="shared" si="1"/>
        <v>2.1425679012345089</v>
      </c>
      <c r="BZ6">
        <f t="shared" si="1"/>
        <v>2.1164390243901856</v>
      </c>
      <c r="CA6">
        <f t="shared" si="1"/>
        <v>2.090939759036087</v>
      </c>
      <c r="CB6">
        <f t="shared" ref="CB6:CL6" si="2">+$P$4/CB5</f>
        <v>2.0660476190475623</v>
      </c>
      <c r="CC6">
        <f t="shared" si="2"/>
        <v>2.041741176470532</v>
      </c>
      <c r="CD6">
        <f t="shared" si="2"/>
        <v>2.0179999999999443</v>
      </c>
      <c r="CE6" s="8">
        <f t="shared" si="2"/>
        <v>1.9948045977010946</v>
      </c>
      <c r="CF6">
        <f t="shared" si="2"/>
        <v>1.9721363636363094</v>
      </c>
      <c r="CG6">
        <f t="shared" si="2"/>
        <v>1.9499775280898339</v>
      </c>
      <c r="CH6">
        <f t="shared" si="2"/>
        <v>1.928311111111058</v>
      </c>
      <c r="CI6">
        <f t="shared" si="2"/>
        <v>1.9071208791208267</v>
      </c>
      <c r="CJ6">
        <f t="shared" si="2"/>
        <v>1.8863913043477742</v>
      </c>
      <c r="CK6">
        <f t="shared" si="2"/>
        <v>1.8661075268816691</v>
      </c>
      <c r="CL6">
        <f t="shared" si="2"/>
        <v>1.8462553191488853</v>
      </c>
    </row>
    <row r="7" spans="1:90">
      <c r="A7" t="s">
        <v>2</v>
      </c>
      <c r="C7">
        <f>+C4</f>
        <v>26024.325000000001</v>
      </c>
      <c r="O7" t="s">
        <v>41</v>
      </c>
      <c r="P7">
        <v>3.8608049368401378</v>
      </c>
      <c r="Q7">
        <v>7.7261822465463847</v>
      </c>
      <c r="R7">
        <v>9.8135863717004472</v>
      </c>
      <c r="S7">
        <v>7.6320060834404035</v>
      </c>
      <c r="T7">
        <v>2.2833171746703576</v>
      </c>
      <c r="U7">
        <v>7.8267864426460516</v>
      </c>
      <c r="V7">
        <v>4.228317664515953</v>
      </c>
      <c r="W7">
        <v>8.9744946819648259</v>
      </c>
      <c r="X7">
        <v>6.5246257363191207</v>
      </c>
      <c r="Y7">
        <v>2.3098324892434277</v>
      </c>
      <c r="Z7">
        <v>3.8737044541173971</v>
      </c>
      <c r="AA7">
        <v>5.2040653417520177</v>
      </c>
      <c r="AB7">
        <v>3.0404842386153228</v>
      </c>
      <c r="AC7">
        <v>3.3241595971942504</v>
      </c>
      <c r="AD7">
        <v>3.535255546635498</v>
      </c>
      <c r="AE7">
        <v>2.7390106477601064</v>
      </c>
      <c r="AF7">
        <v>2.0605636335872446</v>
      </c>
      <c r="AG7">
        <v>4.9651976031716751</v>
      </c>
      <c r="AH7">
        <v>3.8502446798082826</v>
      </c>
      <c r="AI7">
        <v>1.6320077838162974</v>
      </c>
      <c r="AJ7">
        <v>1.7216431517292277</v>
      </c>
      <c r="AK7" s="18">
        <v>2.7263598977194574</v>
      </c>
      <c r="AL7">
        <v>2.7436694001977471</v>
      </c>
      <c r="AM7">
        <v>0.95934967556468131</v>
      </c>
      <c r="AN7">
        <v>1.4136121640604853</v>
      </c>
      <c r="AO7">
        <v>1.230034740236186</v>
      </c>
      <c r="AP7">
        <v>1.2078899071968539</v>
      </c>
      <c r="AQ7">
        <v>1.712034635023767</v>
      </c>
      <c r="AR7">
        <v>1.5062526246736807</v>
      </c>
      <c r="AS7" s="18">
        <v>1.4900255688800328</v>
      </c>
      <c r="AT7" s="18">
        <v>1.0924777192894102</v>
      </c>
      <c r="AU7">
        <v>1.7471801774514895</v>
      </c>
      <c r="AV7">
        <v>3.0503296555584063</v>
      </c>
      <c r="AW7">
        <v>1.9137023756171472</v>
      </c>
      <c r="AX7">
        <v>2.2760635691588003</v>
      </c>
      <c r="AY7">
        <v>1.0362749728866354</v>
      </c>
      <c r="AZ7">
        <v>1.2125970125282122</v>
      </c>
      <c r="BA7">
        <v>1.5016520721716788</v>
      </c>
      <c r="BB7">
        <v>0.39746217738617862</v>
      </c>
      <c r="BC7">
        <v>0.4749010446249135</v>
      </c>
      <c r="BD7">
        <v>0.80815283378891145</v>
      </c>
      <c r="BE7">
        <v>0.83102984417993708</v>
      </c>
      <c r="BF7">
        <v>1.5147368931678618</v>
      </c>
      <c r="BG7">
        <v>0.64384571316392403</v>
      </c>
      <c r="BH7">
        <v>0.65300947671490583</v>
      </c>
      <c r="BI7">
        <v>0.75226854805151278</v>
      </c>
      <c r="BJ7">
        <v>0.61072714550729112</v>
      </c>
      <c r="BK7">
        <v>0.99381731475415913</v>
      </c>
      <c r="BL7">
        <v>0.96570395228028583</v>
      </c>
      <c r="BM7">
        <v>0.68662334831462601</v>
      </c>
      <c r="BN7">
        <v>1.1050215481608041</v>
      </c>
      <c r="BO7">
        <v>0.80581203106337296</v>
      </c>
      <c r="BP7">
        <v>0.83150616636032948</v>
      </c>
      <c r="BQ7">
        <v>0.70492574495253724</v>
      </c>
      <c r="BR7">
        <v>0.42740960126767591</v>
      </c>
      <c r="BS7">
        <v>0.70427649007631121</v>
      </c>
      <c r="BT7">
        <v>0.49010213227728566</v>
      </c>
      <c r="BU7">
        <v>0.74319045853323484</v>
      </c>
      <c r="BV7">
        <v>0.20640272722959527</v>
      </c>
      <c r="BW7">
        <v>0.15842315621193559</v>
      </c>
      <c r="BX7">
        <v>0.87724460997439324</v>
      </c>
      <c r="BY7">
        <v>0.68610143388016309</v>
      </c>
      <c r="BZ7">
        <v>0.44224968352398175</v>
      </c>
      <c r="CA7">
        <v>0.93273400344837065</v>
      </c>
      <c r="CB7">
        <v>0.360417982692946</v>
      </c>
      <c r="CC7">
        <v>0.44516682287792836</v>
      </c>
      <c r="CD7">
        <v>0.88985520091502757</v>
      </c>
      <c r="CE7">
        <v>0.54371412671469932</v>
      </c>
      <c r="CF7">
        <v>0.61297782086098873</v>
      </c>
      <c r="CG7">
        <v>0.44368446703582598</v>
      </c>
      <c r="CH7">
        <v>0.74725937275814602</v>
      </c>
      <c r="CI7">
        <v>0.70863732171866511</v>
      </c>
      <c r="CJ7">
        <v>0.37767859373119822</v>
      </c>
      <c r="CK7">
        <v>0.56833594668322651</v>
      </c>
      <c r="CL7">
        <v>0.12817543632745643</v>
      </c>
    </row>
    <row r="8" spans="1:90">
      <c r="A8" t="s">
        <v>3</v>
      </c>
      <c r="C8">
        <v>3.4709599999999043</v>
      </c>
    </row>
    <row r="9" spans="1:90">
      <c r="A9" t="s">
        <v>41</v>
      </c>
      <c r="D9">
        <f>SUM(R22:R29)</f>
        <v>0.16879769169658979</v>
      </c>
    </row>
    <row r="10" spans="1:90" ht="13.5" thickBot="1">
      <c r="C10" s="7" t="s">
        <v>20</v>
      </c>
      <c r="D10" s="7" t="s">
        <v>21</v>
      </c>
    </row>
    <row r="11" spans="1:90">
      <c r="A11" t="s">
        <v>16</v>
      </c>
      <c r="C11">
        <f>INTERCEPT(G21:G92,F21:F92)</f>
        <v>-2.7836826192715121</v>
      </c>
      <c r="D11" s="6"/>
    </row>
    <row r="12" spans="1:90">
      <c r="A12" t="s">
        <v>17</v>
      </c>
      <c r="C12">
        <f>SLOPE(G21:G92,F21:F92)</f>
        <v>4.516853009193469E-4</v>
      </c>
      <c r="D12" s="6"/>
    </row>
    <row r="13" spans="1:90">
      <c r="A13" t="s">
        <v>19</v>
      </c>
      <c r="C13" s="6" t="s">
        <v>14</v>
      </c>
      <c r="D13" s="6"/>
    </row>
    <row r="14" spans="1:90">
      <c r="A14" t="s">
        <v>24</v>
      </c>
    </row>
    <row r="15" spans="1:90">
      <c r="A15" s="5" t="s">
        <v>18</v>
      </c>
      <c r="C15">
        <f>+C7+C11</f>
        <v>26021.541317380728</v>
      </c>
    </row>
    <row r="16" spans="1:90">
      <c r="A16" s="8" t="s">
        <v>4</v>
      </c>
      <c r="C16">
        <f>+C8+C12</f>
        <v>3.4714116853008239</v>
      </c>
    </row>
    <row r="17" spans="1:19" ht="13.5" thickBot="1"/>
    <row r="18" spans="1:19">
      <c r="A18" s="8" t="s">
        <v>5</v>
      </c>
      <c r="C18" s="3">
        <f>+C15</f>
        <v>26021.541317380728</v>
      </c>
      <c r="D18" s="4">
        <f>+C16</f>
        <v>3.4714116853008239</v>
      </c>
    </row>
    <row r="19" spans="1:19" ht="13.5" thickTop="1"/>
    <row r="20" spans="1:19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35</v>
      </c>
      <c r="J20" s="10" t="s">
        <v>36</v>
      </c>
      <c r="K20" s="10" t="s">
        <v>37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9">
      <c r="A21" t="s">
        <v>12</v>
      </c>
      <c r="C21">
        <v>26024.325000000001</v>
      </c>
      <c r="D21" s="6" t="s">
        <v>14</v>
      </c>
      <c r="E21">
        <f t="shared" ref="E21:E29" si="3">+(C21-C$7)/C$8</f>
        <v>0</v>
      </c>
      <c r="F21" s="16">
        <f>ROUND(2*E21,0)/2+0.5</f>
        <v>0.5</v>
      </c>
      <c r="H21" s="16">
        <v>-1.7354799999993702</v>
      </c>
      <c r="O21">
        <f t="shared" ref="O21:O29" si="4">+C$11+C$12*F21</f>
        <v>-2.7834567766210525</v>
      </c>
      <c r="Q21" s="2">
        <f t="shared" ref="Q21:Q29" si="5">+C21-15018.5</f>
        <v>11005.825000000001</v>
      </c>
      <c r="R21">
        <f t="shared" ref="R21:R29" si="6">+(O21-G21)^2</f>
        <v>7.7476316273176602</v>
      </c>
      <c r="S21">
        <f>SQRT(R21)</f>
        <v>2.7834567766210525</v>
      </c>
    </row>
    <row r="22" spans="1:19">
      <c r="A22" t="s">
        <v>31</v>
      </c>
      <c r="C22" s="14">
        <v>35922.233999999997</v>
      </c>
      <c r="D22" s="6"/>
      <c r="E22">
        <f t="shared" si="3"/>
        <v>2851.6344181437612</v>
      </c>
      <c r="F22" s="16">
        <f>ROUND(2*E22,0)/2+0.5</f>
        <v>2852</v>
      </c>
      <c r="G22">
        <f t="shared" ref="G22:G29" si="7">+C22-(C$7+F22*C$8)</f>
        <v>-1.2689199997330434</v>
      </c>
      <c r="N22">
        <f>G22</f>
        <v>-1.2689199997330434</v>
      </c>
      <c r="O22">
        <f t="shared" si="4"/>
        <v>-1.4954761410495347</v>
      </c>
      <c r="Q22" s="2">
        <f t="shared" si="5"/>
        <v>20903.733999999997</v>
      </c>
      <c r="R22">
        <f t="shared" si="6"/>
        <v>5.1327685168218014E-2</v>
      </c>
      <c r="S22" s="17">
        <f t="shared" ref="S22:S29" si="8">SQRT(R22)</f>
        <v>0.22655614131649138</v>
      </c>
    </row>
    <row r="23" spans="1:19">
      <c r="A23" t="s">
        <v>32</v>
      </c>
      <c r="C23" s="14">
        <v>36541.595000000001</v>
      </c>
      <c r="D23" s="6"/>
      <c r="E23">
        <f t="shared" si="3"/>
        <v>3030.0752529560382</v>
      </c>
      <c r="F23" s="16">
        <f>ROUND(2*E23,0)/2+0.5</f>
        <v>3030.5</v>
      </c>
      <c r="G23">
        <f t="shared" si="7"/>
        <v>-1.4742799997111433</v>
      </c>
      <c r="N23">
        <f>G23</f>
        <v>-1.4742799997111433</v>
      </c>
      <c r="O23">
        <f t="shared" si="4"/>
        <v>-1.4148503148354312</v>
      </c>
      <c r="Q23" s="2">
        <f t="shared" si="5"/>
        <v>21523.095000000001</v>
      </c>
      <c r="R23">
        <f t="shared" si="6"/>
        <v>3.5318874444264432E-3</v>
      </c>
      <c r="S23">
        <f t="shared" si="8"/>
        <v>5.9429684875712097E-2</v>
      </c>
    </row>
    <row r="24" spans="1:19">
      <c r="A24" t="s">
        <v>32</v>
      </c>
      <c r="C24" s="14">
        <v>36628.368999999999</v>
      </c>
      <c r="D24" s="6"/>
      <c r="E24">
        <f t="shared" si="3"/>
        <v>3055.0752529560382</v>
      </c>
      <c r="F24" s="16">
        <f>ROUND(2*E24,0)/2+0.5</f>
        <v>3055.5</v>
      </c>
      <c r="G24">
        <f t="shared" si="7"/>
        <v>-1.4742799997111433</v>
      </c>
      <c r="N24">
        <f>G24</f>
        <v>-1.4742799997111433</v>
      </c>
      <c r="O24">
        <f t="shared" si="4"/>
        <v>-1.4035581823124477</v>
      </c>
      <c r="Q24" s="2">
        <f t="shared" si="5"/>
        <v>21609.868999999999</v>
      </c>
      <c r="R24">
        <f t="shared" si="6"/>
        <v>5.0015754561744509E-3</v>
      </c>
      <c r="S24">
        <f t="shared" si="8"/>
        <v>7.0721817398695652E-2</v>
      </c>
    </row>
    <row r="25" spans="1:19">
      <c r="A25" t="s">
        <v>33</v>
      </c>
      <c r="C25" s="14">
        <v>45001.3</v>
      </c>
      <c r="D25" s="6"/>
      <c r="E25">
        <f t="shared" si="3"/>
        <v>5467.3562933599133</v>
      </c>
      <c r="F25">
        <f>ROUND(2*E25,0)/2</f>
        <v>5467.5</v>
      </c>
      <c r="G25">
        <f t="shared" si="7"/>
        <v>-0.49879999947734177</v>
      </c>
      <c r="I25">
        <f>G25</f>
        <v>-0.49879999947734177</v>
      </c>
      <c r="O25">
        <f t="shared" si="4"/>
        <v>-0.31409323649498289</v>
      </c>
      <c r="Q25" s="2">
        <f t="shared" si="5"/>
        <v>29982.800000000003</v>
      </c>
      <c r="R25">
        <f t="shared" si="6"/>
        <v>3.41165882914213E-2</v>
      </c>
      <c r="S25">
        <f t="shared" si="8"/>
        <v>0.18470676298235889</v>
      </c>
    </row>
    <row r="26" spans="1:19">
      <c r="A26" t="s">
        <v>38</v>
      </c>
      <c r="C26" s="14">
        <v>48986.4931</v>
      </c>
      <c r="D26" s="6"/>
      <c r="E26">
        <f t="shared" si="3"/>
        <v>6615.5092827346416</v>
      </c>
      <c r="F26">
        <f>ROUND(2*E26,0)/2</f>
        <v>6615.5</v>
      </c>
      <c r="G26">
        <f t="shared" si="7"/>
        <v>3.2220000626693945E-2</v>
      </c>
      <c r="K26">
        <f>G26</f>
        <v>3.2220000626693945E-2</v>
      </c>
      <c r="O26">
        <f t="shared" si="4"/>
        <v>0.20444148896042735</v>
      </c>
      <c r="Q26" s="2">
        <f t="shared" si="5"/>
        <v>33967.9931</v>
      </c>
      <c r="R26">
        <f t="shared" si="6"/>
        <v>2.9660241043886273E-2</v>
      </c>
      <c r="S26">
        <f t="shared" si="8"/>
        <v>0.17222148833373341</v>
      </c>
    </row>
    <row r="27" spans="1:19">
      <c r="A27" t="s">
        <v>34</v>
      </c>
      <c r="C27" s="14">
        <v>49809.52</v>
      </c>
      <c r="D27" s="6"/>
      <c r="E27">
        <f t="shared" si="3"/>
        <v>6852.6272270497648</v>
      </c>
      <c r="F27">
        <f>ROUND(2*E27,0)/2</f>
        <v>6852.5</v>
      </c>
      <c r="G27">
        <f t="shared" si="7"/>
        <v>0.44160000065312488</v>
      </c>
      <c r="J27">
        <f>G27</f>
        <v>0.44160000065312488</v>
      </c>
      <c r="O27">
        <f t="shared" si="4"/>
        <v>0.3114909052783128</v>
      </c>
      <c r="Q27" s="2">
        <f t="shared" si="5"/>
        <v>34791.019999999997</v>
      </c>
      <c r="R27">
        <f t="shared" si="6"/>
        <v>1.6928376699251946E-2</v>
      </c>
      <c r="S27">
        <f t="shared" si="8"/>
        <v>0.13010909537481208</v>
      </c>
    </row>
    <row r="28" spans="1:19">
      <c r="A28" t="s">
        <v>30</v>
      </c>
      <c r="B28" s="6" t="s">
        <v>45</v>
      </c>
      <c r="C28" s="13">
        <v>52369.5219</v>
      </c>
      <c r="D28" s="13">
        <v>5.0000000000000001E-4</v>
      </c>
      <c r="E28">
        <f t="shared" si="3"/>
        <v>7590.1758879389927</v>
      </c>
      <c r="F28">
        <f>ROUND(2*E28,0)/2</f>
        <v>7590</v>
      </c>
      <c r="G28">
        <f t="shared" si="7"/>
        <v>0.61050000073009869</v>
      </c>
      <c r="H28" s="11"/>
      <c r="I28" s="6"/>
      <c r="J28" s="6"/>
      <c r="K28">
        <f>G28</f>
        <v>0.61050000073009869</v>
      </c>
      <c r="O28">
        <f t="shared" si="4"/>
        <v>0.64460881470633113</v>
      </c>
      <c r="Q28" s="2">
        <f t="shared" si="5"/>
        <v>37351.0219</v>
      </c>
      <c r="R28">
        <f t="shared" si="6"/>
        <v>1.1634111908652297E-3</v>
      </c>
      <c r="S28">
        <f t="shared" si="8"/>
        <v>3.4108813976232444E-2</v>
      </c>
    </row>
    <row r="29" spans="1:19">
      <c r="A29" t="s">
        <v>30</v>
      </c>
      <c r="B29" s="19" t="s">
        <v>45</v>
      </c>
      <c r="C29" s="13">
        <v>52746.368699999999</v>
      </c>
      <c r="D29" s="13">
        <v>2.0000000000000001E-4</v>
      </c>
      <c r="E29">
        <f t="shared" si="3"/>
        <v>7698.747234194786</v>
      </c>
      <c r="F29">
        <f>ROUND(2*E29,0)/2</f>
        <v>7698.5</v>
      </c>
      <c r="G29">
        <f t="shared" si="7"/>
        <v>0.85814000073150964</v>
      </c>
      <c r="H29" s="11"/>
      <c r="I29" s="12"/>
      <c r="J29" s="6"/>
      <c r="K29">
        <f>G29</f>
        <v>0.85814000073150964</v>
      </c>
      <c r="O29">
        <f t="shared" si="4"/>
        <v>0.69361666985607995</v>
      </c>
      <c r="Q29" s="2">
        <f t="shared" si="5"/>
        <v>37727.868699999999</v>
      </c>
      <c r="R29">
        <f t="shared" si="6"/>
        <v>2.7067926402346117E-2</v>
      </c>
      <c r="S29">
        <f t="shared" si="8"/>
        <v>0.1645233308754297</v>
      </c>
    </row>
    <row r="30" spans="1:19">
      <c r="D30" s="6"/>
    </row>
    <row r="31" spans="1:19">
      <c r="D31" s="6"/>
    </row>
    <row r="32" spans="1:19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L45"/>
  <sheetViews>
    <sheetView workbookViewId="0">
      <selection activeCell="D30" sqref="D30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9.5703125" customWidth="1"/>
    <col min="16" max="16" width="7.7109375" customWidth="1"/>
    <col min="17" max="17" width="9.85546875" customWidth="1"/>
  </cols>
  <sheetData>
    <row r="1" spans="1:90" ht="20.25">
      <c r="A1" s="1" t="s">
        <v>29</v>
      </c>
      <c r="C1" s="17" t="s">
        <v>44</v>
      </c>
    </row>
    <row r="2" spans="1:90">
      <c r="A2" t="s">
        <v>25</v>
      </c>
      <c r="P2" s="15">
        <v>36541.595000000001</v>
      </c>
      <c r="BI2" t="s">
        <v>43</v>
      </c>
    </row>
    <row r="3" spans="1:90" ht="13.5" thickBot="1">
      <c r="P3" s="15">
        <v>36628.368999999999</v>
      </c>
      <c r="BH3" t="s">
        <v>42</v>
      </c>
    </row>
    <row r="4" spans="1:90">
      <c r="A4" s="8" t="s">
        <v>0</v>
      </c>
      <c r="C4" s="3">
        <v>26024.325000000001</v>
      </c>
      <c r="D4" s="4">
        <v>4.3316549999999996</v>
      </c>
      <c r="P4">
        <f>+P3-P2</f>
        <v>86.773999999997613</v>
      </c>
    </row>
    <row r="5" spans="1:90">
      <c r="O5" t="s">
        <v>39</v>
      </c>
      <c r="P5">
        <v>10</v>
      </c>
      <c r="Q5">
        <v>10.5</v>
      </c>
      <c r="R5">
        <v>11</v>
      </c>
      <c r="S5">
        <v>11.5</v>
      </c>
      <c r="T5">
        <v>12</v>
      </c>
      <c r="U5">
        <v>12.5</v>
      </c>
      <c r="V5">
        <v>13</v>
      </c>
      <c r="W5">
        <v>13.5</v>
      </c>
      <c r="X5">
        <v>14</v>
      </c>
      <c r="Y5">
        <v>14.5</v>
      </c>
      <c r="Z5">
        <v>15</v>
      </c>
      <c r="AA5">
        <v>15.5</v>
      </c>
      <c r="AB5">
        <v>16</v>
      </c>
      <c r="AC5">
        <v>16.5</v>
      </c>
      <c r="AD5">
        <v>17</v>
      </c>
      <c r="AE5">
        <v>17.5</v>
      </c>
      <c r="AF5">
        <v>18</v>
      </c>
      <c r="AG5">
        <v>18.5</v>
      </c>
      <c r="AH5">
        <v>19</v>
      </c>
      <c r="AI5">
        <v>19.5</v>
      </c>
      <c r="AJ5">
        <v>20</v>
      </c>
      <c r="AK5">
        <v>20.5</v>
      </c>
      <c r="AL5">
        <v>21</v>
      </c>
      <c r="AM5">
        <v>21.5</v>
      </c>
      <c r="AN5">
        <v>22</v>
      </c>
      <c r="AO5">
        <v>22.5</v>
      </c>
      <c r="AP5">
        <v>23</v>
      </c>
      <c r="AQ5">
        <v>23.5</v>
      </c>
      <c r="AR5">
        <v>24</v>
      </c>
      <c r="AS5">
        <v>24.5</v>
      </c>
      <c r="AT5">
        <v>25</v>
      </c>
      <c r="AU5">
        <v>25.5</v>
      </c>
      <c r="AV5">
        <v>26</v>
      </c>
      <c r="AW5">
        <v>26.5</v>
      </c>
      <c r="AX5">
        <v>27</v>
      </c>
      <c r="AY5">
        <v>27.5</v>
      </c>
      <c r="AZ5">
        <v>28</v>
      </c>
      <c r="BA5">
        <v>28.5</v>
      </c>
      <c r="BB5">
        <v>29</v>
      </c>
      <c r="BC5">
        <v>29.5</v>
      </c>
      <c r="BD5">
        <v>30</v>
      </c>
      <c r="BE5">
        <v>30.5</v>
      </c>
      <c r="BF5">
        <v>31</v>
      </c>
      <c r="BG5">
        <v>31.5</v>
      </c>
      <c r="BH5">
        <v>32</v>
      </c>
      <c r="BI5">
        <v>32.5</v>
      </c>
      <c r="BJ5">
        <v>33</v>
      </c>
      <c r="BK5">
        <v>33.5</v>
      </c>
      <c r="BL5">
        <v>34</v>
      </c>
      <c r="BM5">
        <v>34.5</v>
      </c>
      <c r="BN5">
        <v>35</v>
      </c>
      <c r="BO5">
        <v>35.5</v>
      </c>
      <c r="BP5">
        <v>36</v>
      </c>
      <c r="BQ5">
        <v>36.5</v>
      </c>
      <c r="BR5">
        <v>37</v>
      </c>
      <c r="BS5">
        <v>37.5</v>
      </c>
      <c r="BT5">
        <v>38</v>
      </c>
      <c r="BU5">
        <v>38.5</v>
      </c>
      <c r="BV5">
        <v>39</v>
      </c>
      <c r="BW5">
        <v>39.5</v>
      </c>
      <c r="BX5">
        <v>40</v>
      </c>
      <c r="BY5">
        <v>40.5</v>
      </c>
      <c r="BZ5">
        <v>41</v>
      </c>
      <c r="CA5">
        <v>41.5</v>
      </c>
      <c r="CB5">
        <v>42</v>
      </c>
      <c r="CC5">
        <v>42.5</v>
      </c>
      <c r="CD5">
        <v>43</v>
      </c>
      <c r="CE5">
        <v>43.5</v>
      </c>
      <c r="CF5">
        <v>44</v>
      </c>
      <c r="CG5">
        <v>44.5</v>
      </c>
      <c r="CH5">
        <v>45</v>
      </c>
      <c r="CI5">
        <v>45.5</v>
      </c>
      <c r="CJ5">
        <v>46</v>
      </c>
      <c r="CK5">
        <v>46.5</v>
      </c>
      <c r="CL5">
        <v>47</v>
      </c>
    </row>
    <row r="6" spans="1:90">
      <c r="A6" s="8" t="s">
        <v>1</v>
      </c>
      <c r="O6" t="s">
        <v>40</v>
      </c>
      <c r="P6">
        <f t="shared" ref="P6:AU6" si="0">+$P$4/P5</f>
        <v>8.6773999999997606</v>
      </c>
      <c r="Q6">
        <f t="shared" si="0"/>
        <v>8.2641904761902492</v>
      </c>
      <c r="R6">
        <f t="shared" si="0"/>
        <v>7.8885454545452376</v>
      </c>
      <c r="S6">
        <f t="shared" si="0"/>
        <v>7.545565217391097</v>
      </c>
      <c r="T6">
        <f t="shared" si="0"/>
        <v>7.2311666666664678</v>
      </c>
      <c r="U6">
        <f t="shared" si="0"/>
        <v>6.9419199999998087</v>
      </c>
      <c r="V6">
        <f t="shared" si="0"/>
        <v>6.6749230769228936</v>
      </c>
      <c r="W6">
        <f t="shared" si="0"/>
        <v>6.4277037037035267</v>
      </c>
      <c r="X6">
        <f t="shared" si="0"/>
        <v>6.1981428571426864</v>
      </c>
      <c r="Y6" s="8">
        <f t="shared" si="0"/>
        <v>5.9844137931032835</v>
      </c>
      <c r="Z6">
        <f t="shared" si="0"/>
        <v>5.7849333333331741</v>
      </c>
      <c r="AA6">
        <f t="shared" si="0"/>
        <v>5.5983225806450072</v>
      </c>
      <c r="AB6">
        <f t="shared" si="0"/>
        <v>5.4233749999998508</v>
      </c>
      <c r="AC6">
        <f t="shared" si="0"/>
        <v>5.2590303030301584</v>
      </c>
      <c r="AD6">
        <f t="shared" si="0"/>
        <v>5.1043529411763302</v>
      </c>
      <c r="AE6">
        <f t="shared" si="0"/>
        <v>4.9585142857141493</v>
      </c>
      <c r="AF6">
        <f t="shared" si="0"/>
        <v>4.8207777777776455</v>
      </c>
      <c r="AG6">
        <f t="shared" si="0"/>
        <v>4.6904864864863578</v>
      </c>
      <c r="AH6">
        <f t="shared" si="0"/>
        <v>4.5670526315788216</v>
      </c>
      <c r="AI6">
        <f t="shared" si="0"/>
        <v>4.4499487179485957</v>
      </c>
      <c r="AJ6">
        <f t="shared" si="0"/>
        <v>4.3386999999998803</v>
      </c>
      <c r="AK6" s="8">
        <f t="shared" si="0"/>
        <v>4.2328780487803712</v>
      </c>
      <c r="AL6">
        <f t="shared" si="0"/>
        <v>4.1320952380951246</v>
      </c>
      <c r="AM6">
        <f t="shared" si="0"/>
        <v>4.0359999999998886</v>
      </c>
      <c r="AN6">
        <f t="shared" si="0"/>
        <v>3.9442727272726188</v>
      </c>
      <c r="AO6">
        <f t="shared" si="0"/>
        <v>3.856622222222116</v>
      </c>
      <c r="AP6">
        <f t="shared" si="0"/>
        <v>3.7727826086955485</v>
      </c>
      <c r="AQ6">
        <f t="shared" si="0"/>
        <v>3.6925106382977706</v>
      </c>
      <c r="AR6">
        <f t="shared" si="0"/>
        <v>3.6155833333332339</v>
      </c>
      <c r="AS6" s="18">
        <f t="shared" si="0"/>
        <v>3.5417959183672494</v>
      </c>
      <c r="AT6" s="8">
        <f t="shared" si="0"/>
        <v>3.4709599999999043</v>
      </c>
      <c r="AU6">
        <f t="shared" si="0"/>
        <v>3.4029019607842201</v>
      </c>
      <c r="AV6">
        <f t="shared" ref="AV6:CA6" si="1">+$P$4/AV5</f>
        <v>3.3374615384614468</v>
      </c>
      <c r="AW6">
        <f t="shared" si="1"/>
        <v>3.2744905660376458</v>
      </c>
      <c r="AX6">
        <f t="shared" si="1"/>
        <v>3.2138518518517634</v>
      </c>
      <c r="AY6">
        <f t="shared" si="1"/>
        <v>3.1554181818180949</v>
      </c>
      <c r="AZ6">
        <f t="shared" si="1"/>
        <v>3.0990714285713432</v>
      </c>
      <c r="BA6">
        <f t="shared" si="1"/>
        <v>3.0447017543858812</v>
      </c>
      <c r="BB6" s="8">
        <f t="shared" si="1"/>
        <v>2.9922068965516417</v>
      </c>
      <c r="BC6">
        <f t="shared" si="1"/>
        <v>2.9414915254236478</v>
      </c>
      <c r="BD6">
        <f t="shared" si="1"/>
        <v>2.892466666666587</v>
      </c>
      <c r="BE6">
        <f t="shared" si="1"/>
        <v>2.8450491803277904</v>
      </c>
      <c r="BF6">
        <f t="shared" si="1"/>
        <v>2.7991612903225036</v>
      </c>
      <c r="BG6">
        <f t="shared" si="1"/>
        <v>2.7547301587300828</v>
      </c>
      <c r="BH6" s="8">
        <f t="shared" si="1"/>
        <v>2.7116874999999254</v>
      </c>
      <c r="BI6">
        <f t="shared" si="1"/>
        <v>2.6699692307691572</v>
      </c>
      <c r="BJ6">
        <f t="shared" si="1"/>
        <v>2.6295151515150792</v>
      </c>
      <c r="BK6">
        <f t="shared" si="1"/>
        <v>2.5902686567163467</v>
      </c>
      <c r="BL6">
        <f t="shared" si="1"/>
        <v>2.5521764705881651</v>
      </c>
      <c r="BM6">
        <f t="shared" si="1"/>
        <v>2.5151884057970322</v>
      </c>
      <c r="BN6">
        <f t="shared" si="1"/>
        <v>2.4792571428570747</v>
      </c>
      <c r="BO6">
        <f t="shared" si="1"/>
        <v>2.4443380281689469</v>
      </c>
      <c r="BP6">
        <f t="shared" si="1"/>
        <v>2.4103888888888227</v>
      </c>
      <c r="BQ6">
        <f t="shared" si="1"/>
        <v>2.3773698630136333</v>
      </c>
      <c r="BR6">
        <f t="shared" si="1"/>
        <v>2.3452432432431789</v>
      </c>
      <c r="BS6">
        <f t="shared" si="1"/>
        <v>2.3139733333332697</v>
      </c>
      <c r="BT6">
        <f t="shared" si="1"/>
        <v>2.2835263157894108</v>
      </c>
      <c r="BU6">
        <f t="shared" si="1"/>
        <v>2.2538701298700681</v>
      </c>
      <c r="BV6">
        <f t="shared" si="1"/>
        <v>2.2249743589742979</v>
      </c>
      <c r="BW6">
        <f t="shared" si="1"/>
        <v>2.1968101265822182</v>
      </c>
      <c r="BX6">
        <f t="shared" si="1"/>
        <v>2.1693499999999402</v>
      </c>
      <c r="BY6">
        <f t="shared" si="1"/>
        <v>2.1425679012345089</v>
      </c>
      <c r="BZ6">
        <f t="shared" si="1"/>
        <v>2.1164390243901856</v>
      </c>
      <c r="CA6">
        <f t="shared" si="1"/>
        <v>2.090939759036087</v>
      </c>
      <c r="CB6">
        <f t="shared" ref="CB6:CL6" si="2">+$P$4/CB5</f>
        <v>2.0660476190475623</v>
      </c>
      <c r="CC6">
        <f t="shared" si="2"/>
        <v>2.041741176470532</v>
      </c>
      <c r="CD6">
        <f t="shared" si="2"/>
        <v>2.0179999999999443</v>
      </c>
      <c r="CE6" s="8">
        <f t="shared" si="2"/>
        <v>1.9948045977010946</v>
      </c>
      <c r="CF6">
        <f t="shared" si="2"/>
        <v>1.9721363636363094</v>
      </c>
      <c r="CG6">
        <f t="shared" si="2"/>
        <v>1.9499775280898339</v>
      </c>
      <c r="CH6">
        <f t="shared" si="2"/>
        <v>1.928311111111058</v>
      </c>
      <c r="CI6">
        <f t="shared" si="2"/>
        <v>1.9071208791208267</v>
      </c>
      <c r="CJ6">
        <f t="shared" si="2"/>
        <v>1.8863913043477742</v>
      </c>
      <c r="CK6">
        <f t="shared" si="2"/>
        <v>1.8661075268816691</v>
      </c>
      <c r="CL6">
        <f t="shared" si="2"/>
        <v>1.8462553191488853</v>
      </c>
    </row>
    <row r="7" spans="1:90">
      <c r="A7" t="s">
        <v>2</v>
      </c>
      <c r="C7">
        <f>+C4</f>
        <v>26024.325000000001</v>
      </c>
      <c r="O7" t="s">
        <v>41</v>
      </c>
      <c r="P7">
        <v>3.8608049368401378</v>
      </c>
      <c r="Q7">
        <v>7.7261822465463847</v>
      </c>
      <c r="R7">
        <v>9.8135863717004472</v>
      </c>
      <c r="S7">
        <v>7.6320060834404035</v>
      </c>
      <c r="T7">
        <v>2.2833171746703576</v>
      </c>
      <c r="U7">
        <v>7.8267864426460516</v>
      </c>
      <c r="V7">
        <v>4.228317664515953</v>
      </c>
      <c r="W7">
        <v>8.9744946819648259</v>
      </c>
      <c r="X7">
        <v>6.5246257363191207</v>
      </c>
      <c r="Y7">
        <v>2.3098324892434277</v>
      </c>
      <c r="Z7">
        <v>3.8737044541173971</v>
      </c>
      <c r="AA7">
        <v>5.2040653417520177</v>
      </c>
      <c r="AB7">
        <v>3.0404842386153228</v>
      </c>
      <c r="AC7">
        <v>3.3241595971942504</v>
      </c>
      <c r="AD7">
        <v>3.535255546635498</v>
      </c>
      <c r="AE7">
        <v>2.7390106477601064</v>
      </c>
      <c r="AF7">
        <v>2.0605636335872446</v>
      </c>
      <c r="AG7">
        <v>4.9651976031716751</v>
      </c>
      <c r="AH7">
        <v>3.8502446798082826</v>
      </c>
      <c r="AI7">
        <v>1.6320077838162974</v>
      </c>
      <c r="AJ7">
        <v>1.7216431517292277</v>
      </c>
      <c r="AK7" s="18">
        <v>2.7263598977194574</v>
      </c>
      <c r="AL7">
        <v>2.7436694001977471</v>
      </c>
      <c r="AM7">
        <v>0.95934967556468131</v>
      </c>
      <c r="AN7">
        <v>1.4136121640604853</v>
      </c>
      <c r="AO7">
        <v>1.230034740236186</v>
      </c>
      <c r="AP7">
        <v>1.2078899071968539</v>
      </c>
      <c r="AQ7">
        <v>1.712034635023767</v>
      </c>
      <c r="AR7">
        <v>1.5062526246736807</v>
      </c>
      <c r="AS7" s="18">
        <v>1.4900255688800328</v>
      </c>
      <c r="AT7" s="18">
        <v>1.0924777192894102</v>
      </c>
      <c r="AU7">
        <v>1.7471801774514895</v>
      </c>
      <c r="AV7">
        <v>3.0503296555584063</v>
      </c>
      <c r="AW7">
        <v>1.9137023756171472</v>
      </c>
      <c r="AX7">
        <v>2.2760635691588003</v>
      </c>
      <c r="AY7">
        <v>1.0362749728866354</v>
      </c>
      <c r="AZ7">
        <v>1.2125970125282122</v>
      </c>
      <c r="BA7">
        <v>1.5016520721716788</v>
      </c>
      <c r="BB7">
        <v>0.39746217738617862</v>
      </c>
      <c r="BC7">
        <v>0.4749010446249135</v>
      </c>
      <c r="BD7">
        <v>0.80815283378891145</v>
      </c>
      <c r="BE7">
        <v>0.83102984417993708</v>
      </c>
      <c r="BF7">
        <v>1.5147368931678618</v>
      </c>
      <c r="BG7">
        <v>0.64384571316392403</v>
      </c>
      <c r="BH7">
        <v>0.65300947671490583</v>
      </c>
      <c r="BI7">
        <v>0.75226854805151278</v>
      </c>
      <c r="BJ7">
        <v>0.61072714550729112</v>
      </c>
      <c r="BK7">
        <v>0.99381731475415913</v>
      </c>
      <c r="BL7">
        <v>0.96570395228028583</v>
      </c>
      <c r="BM7">
        <v>0.68662334831462601</v>
      </c>
      <c r="BN7">
        <v>1.1050215481608041</v>
      </c>
      <c r="BO7">
        <v>0.80581203106337296</v>
      </c>
      <c r="BP7">
        <v>0.83150616636032948</v>
      </c>
      <c r="BQ7">
        <v>0.70492574495253724</v>
      </c>
      <c r="BR7">
        <v>0.42740960126767591</v>
      </c>
      <c r="BS7">
        <v>0.70427649007631121</v>
      </c>
      <c r="BT7">
        <v>0.49010213227728566</v>
      </c>
      <c r="BU7">
        <v>0.74319045853323484</v>
      </c>
      <c r="BV7">
        <v>0.20640272722959527</v>
      </c>
      <c r="BW7">
        <v>0.15842315621193559</v>
      </c>
      <c r="BX7">
        <v>0.87724460997439324</v>
      </c>
      <c r="BY7">
        <v>0.68610143388016309</v>
      </c>
      <c r="BZ7">
        <v>0.44224968352398175</v>
      </c>
      <c r="CA7">
        <v>0.93273400344837065</v>
      </c>
      <c r="CB7">
        <v>0.360417982692946</v>
      </c>
      <c r="CC7">
        <v>0.44516682287792836</v>
      </c>
      <c r="CD7">
        <v>0.88985520091502757</v>
      </c>
      <c r="CE7">
        <v>0.54371412671469932</v>
      </c>
      <c r="CF7">
        <v>0.61297782086098873</v>
      </c>
      <c r="CG7">
        <v>0.44368446703582598</v>
      </c>
      <c r="CH7">
        <v>0.74725937275814602</v>
      </c>
      <c r="CI7">
        <v>0.70863732171866511</v>
      </c>
      <c r="CJ7">
        <v>0.37767859373119822</v>
      </c>
      <c r="CK7">
        <v>0.56833594668322651</v>
      </c>
      <c r="CL7">
        <v>0.12817543632745643</v>
      </c>
    </row>
    <row r="8" spans="1:90">
      <c r="A8" t="s">
        <v>3</v>
      </c>
      <c r="C8">
        <v>2.7116874999999254</v>
      </c>
    </row>
    <row r="9" spans="1:90">
      <c r="A9" t="s">
        <v>41</v>
      </c>
      <c r="D9">
        <f>SUM(R22:R29)</f>
        <v>0.57307767954494815</v>
      </c>
    </row>
    <row r="10" spans="1:90" ht="13.5" thickBot="1">
      <c r="C10" s="7" t="s">
        <v>20</v>
      </c>
      <c r="D10" s="7" t="s">
        <v>21</v>
      </c>
    </row>
    <row r="11" spans="1:90">
      <c r="A11" t="s">
        <v>16</v>
      </c>
      <c r="C11">
        <f>INTERCEPT(G21:G92,F21:F92)</f>
        <v>0.40533309044051447</v>
      </c>
      <c r="D11" s="6"/>
    </row>
    <row r="12" spans="1:90">
      <c r="A12" t="s">
        <v>17</v>
      </c>
      <c r="C12">
        <f>SLOPE(G21:G92,F21:F92)</f>
        <v>-6.6690803388737128E-5</v>
      </c>
      <c r="D12" s="6"/>
    </row>
    <row r="13" spans="1:90">
      <c r="A13" t="s">
        <v>19</v>
      </c>
      <c r="C13" s="6" t="s">
        <v>14</v>
      </c>
      <c r="D13" s="6"/>
    </row>
    <row r="14" spans="1:90">
      <c r="A14" t="s">
        <v>24</v>
      </c>
    </row>
    <row r="15" spans="1:90">
      <c r="A15" s="5" t="s">
        <v>18</v>
      </c>
      <c r="C15">
        <f>+C7+C11</f>
        <v>26024.73033309044</v>
      </c>
    </row>
    <row r="16" spans="1:90">
      <c r="A16" s="8" t="s">
        <v>4</v>
      </c>
      <c r="C16">
        <f>+C8+C12</f>
        <v>2.7116208091965368</v>
      </c>
    </row>
    <row r="17" spans="1:19" ht="13.5" thickBot="1"/>
    <row r="18" spans="1:19">
      <c r="A18" s="8" t="s">
        <v>5</v>
      </c>
      <c r="C18" s="3">
        <f>+C15</f>
        <v>26024.73033309044</v>
      </c>
      <c r="D18" s="4">
        <f>+C16</f>
        <v>2.7116208091965368</v>
      </c>
    </row>
    <row r="19" spans="1:19" ht="13.5" thickTop="1"/>
    <row r="20" spans="1:19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35</v>
      </c>
      <c r="J20" s="10" t="s">
        <v>36</v>
      </c>
      <c r="K20" s="10" t="s">
        <v>37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9">
      <c r="A21" t="s">
        <v>12</v>
      </c>
      <c r="C21">
        <v>26024.325000000001</v>
      </c>
      <c r="D21" s="6" t="s">
        <v>14</v>
      </c>
      <c r="E21">
        <f t="shared" ref="E21:E29" si="3">+(C21-C$7)/C$8</f>
        <v>0</v>
      </c>
      <c r="F21">
        <f t="shared" ref="F21:F29" si="4">ROUND(2*E21,0)/2</f>
        <v>0</v>
      </c>
      <c r="H21" s="16">
        <v>-1.7354799999993702</v>
      </c>
      <c r="O21">
        <f t="shared" ref="O21:O29" si="5">+C$11+C$12*F21</f>
        <v>0.40533309044051447</v>
      </c>
      <c r="Q21" s="2">
        <f t="shared" ref="Q21:Q29" si="6">+C21-15018.5</f>
        <v>11005.825000000001</v>
      </c>
      <c r="R21">
        <f t="shared" ref="R21:R29" si="7">+(O21-G21)^2</f>
        <v>0.16429491420605827</v>
      </c>
      <c r="S21">
        <f t="shared" ref="S21:S29" si="8">SQRT(R21)</f>
        <v>0.40533309044051447</v>
      </c>
    </row>
    <row r="22" spans="1:19">
      <c r="A22" t="s">
        <v>31</v>
      </c>
      <c r="C22" s="14">
        <v>35922.233999999997</v>
      </c>
      <c r="D22" s="6"/>
      <c r="E22">
        <f t="shared" si="3"/>
        <v>3650.0920552240141</v>
      </c>
      <c r="F22">
        <f t="shared" si="4"/>
        <v>3650</v>
      </c>
      <c r="G22">
        <f t="shared" ref="G22:G29" si="9">+C22-(C$7+F22*C$8)</f>
        <v>0.2496250002659508</v>
      </c>
      <c r="N22">
        <f>G22</f>
        <v>0.2496250002659508</v>
      </c>
      <c r="O22">
        <f t="shared" si="5"/>
        <v>0.16191165807162394</v>
      </c>
      <c r="Q22" s="2">
        <f t="shared" si="6"/>
        <v>20903.733999999997</v>
      </c>
      <c r="R22">
        <f t="shared" si="7"/>
        <v>7.6936303988990803E-3</v>
      </c>
      <c r="S22">
        <f t="shared" si="8"/>
        <v>8.771334219432686E-2</v>
      </c>
    </row>
    <row r="23" spans="1:19">
      <c r="A23" t="s">
        <v>32</v>
      </c>
      <c r="C23" s="14">
        <v>36541.595000000001</v>
      </c>
      <c r="D23" s="6"/>
      <c r="E23">
        <f t="shared" si="3"/>
        <v>3878.4963237837287</v>
      </c>
      <c r="F23">
        <f t="shared" si="4"/>
        <v>3878.5</v>
      </c>
      <c r="G23">
        <f t="shared" si="9"/>
        <v>-9.968749713152647E-3</v>
      </c>
      <c r="N23">
        <f>G23</f>
        <v>-9.968749713152647E-3</v>
      </c>
      <c r="O23">
        <f t="shared" si="5"/>
        <v>0.1466728094972975</v>
      </c>
      <c r="Q23" s="2">
        <f t="shared" si="6"/>
        <v>21523.095000000001</v>
      </c>
      <c r="R23">
        <f t="shared" si="7"/>
        <v>2.4536578071880959E-2</v>
      </c>
      <c r="S23">
        <f t="shared" si="8"/>
        <v>0.15664155921045014</v>
      </c>
    </row>
    <row r="24" spans="1:19">
      <c r="A24" t="s">
        <v>32</v>
      </c>
      <c r="C24" s="14">
        <v>36628.368999999999</v>
      </c>
      <c r="D24" s="6"/>
      <c r="E24">
        <f t="shared" si="3"/>
        <v>3910.4963237837287</v>
      </c>
      <c r="F24">
        <f t="shared" si="4"/>
        <v>3910.5</v>
      </c>
      <c r="G24">
        <f t="shared" si="9"/>
        <v>-9.9687497058766894E-3</v>
      </c>
      <c r="N24">
        <f>G24</f>
        <v>-9.9687497058766894E-3</v>
      </c>
      <c r="O24">
        <f t="shared" si="5"/>
        <v>0.14453870378885791</v>
      </c>
      <c r="Q24" s="2">
        <f t="shared" si="6"/>
        <v>21609.868999999999</v>
      </c>
      <c r="R24">
        <f t="shared" si="7"/>
        <v>2.3872553185427577E-2</v>
      </c>
      <c r="S24">
        <f t="shared" si="8"/>
        <v>0.1545074534947346</v>
      </c>
    </row>
    <row r="25" spans="1:19">
      <c r="A25" t="s">
        <v>33</v>
      </c>
      <c r="C25" s="14">
        <v>45001.3</v>
      </c>
      <c r="D25" s="6"/>
      <c r="E25">
        <f t="shared" si="3"/>
        <v>6998.2160555006885</v>
      </c>
      <c r="F25">
        <f t="shared" si="4"/>
        <v>6998</v>
      </c>
      <c r="G25">
        <f t="shared" si="9"/>
        <v>0.58587500052817632</v>
      </c>
      <c r="I25">
        <f>G25</f>
        <v>0.58587500052817632</v>
      </c>
      <c r="O25">
        <f t="shared" si="5"/>
        <v>-6.1369151673867972E-2</v>
      </c>
      <c r="Q25" s="2">
        <f t="shared" si="6"/>
        <v>29982.800000000003</v>
      </c>
      <c r="R25">
        <f t="shared" si="7"/>
        <v>0.41892499255974303</v>
      </c>
      <c r="S25" s="17">
        <f t="shared" si="8"/>
        <v>0.64724415220204423</v>
      </c>
    </row>
    <row r="26" spans="1:19">
      <c r="A26" t="s">
        <v>38</v>
      </c>
      <c r="C26" s="14">
        <v>48986.4931</v>
      </c>
      <c r="D26" s="6"/>
      <c r="E26">
        <f t="shared" si="3"/>
        <v>8467.8518819003402</v>
      </c>
      <c r="F26">
        <f t="shared" si="4"/>
        <v>8468</v>
      </c>
      <c r="G26">
        <f t="shared" si="9"/>
        <v>-0.40164999936678214</v>
      </c>
      <c r="K26">
        <f>G26</f>
        <v>-0.40164999936678214</v>
      </c>
      <c r="O26">
        <f t="shared" si="5"/>
        <v>-0.15940463265531157</v>
      </c>
      <c r="Q26" s="2">
        <f t="shared" si="6"/>
        <v>33967.9931</v>
      </c>
      <c r="R26">
        <f t="shared" si="7"/>
        <v>5.8682817693174849E-2</v>
      </c>
      <c r="S26">
        <f t="shared" si="8"/>
        <v>0.24224536671147057</v>
      </c>
    </row>
    <row r="27" spans="1:19">
      <c r="A27" t="s">
        <v>34</v>
      </c>
      <c r="C27" s="14">
        <v>49809.52</v>
      </c>
      <c r="D27" s="6"/>
      <c r="E27">
        <f t="shared" si="3"/>
        <v>8771.3628506236983</v>
      </c>
      <c r="F27">
        <f t="shared" si="4"/>
        <v>8771.5</v>
      </c>
      <c r="G27">
        <f t="shared" si="9"/>
        <v>-0.37190624935465166</v>
      </c>
      <c r="J27">
        <f>G27</f>
        <v>-0.37190624935465166</v>
      </c>
      <c r="O27">
        <f t="shared" si="5"/>
        <v>-0.17964529148379327</v>
      </c>
      <c r="Q27" s="2">
        <f t="shared" si="6"/>
        <v>34791.019999999997</v>
      </c>
      <c r="R27">
        <f t="shared" si="7"/>
        <v>3.6964275921419987E-2</v>
      </c>
      <c r="S27">
        <f t="shared" si="8"/>
        <v>0.1922609578708584</v>
      </c>
    </row>
    <row r="28" spans="1:19">
      <c r="A28" t="s">
        <v>30</v>
      </c>
      <c r="B28" s="6" t="s">
        <v>45</v>
      </c>
      <c r="C28" s="13">
        <v>52369.5219</v>
      </c>
      <c r="D28" s="13">
        <v>5.0000000000000001E-4</v>
      </c>
      <c r="E28">
        <f t="shared" si="3"/>
        <v>9715.4251365619093</v>
      </c>
      <c r="F28">
        <f t="shared" si="4"/>
        <v>9715.5</v>
      </c>
      <c r="G28">
        <f t="shared" si="9"/>
        <v>-0.20300624927767785</v>
      </c>
      <c r="H28" s="11"/>
      <c r="I28" s="6"/>
      <c r="J28" s="6"/>
      <c r="K28">
        <f>G28</f>
        <v>-0.20300624927767785</v>
      </c>
      <c r="O28">
        <f t="shared" si="5"/>
        <v>-0.24260140988276113</v>
      </c>
      <c r="Q28" s="2">
        <f t="shared" si="6"/>
        <v>37351.0219</v>
      </c>
      <c r="R28">
        <f t="shared" si="7"/>
        <v>1.567776743342339E-3</v>
      </c>
      <c r="S28">
        <f t="shared" si="8"/>
        <v>3.9595160605083279E-2</v>
      </c>
    </row>
    <row r="29" spans="1:19">
      <c r="A29" t="s">
        <v>30</v>
      </c>
      <c r="B29" s="19" t="s">
        <v>45</v>
      </c>
      <c r="C29" s="13">
        <v>52746.368699999999</v>
      </c>
      <c r="D29" s="13">
        <v>2.0000000000000001E-4</v>
      </c>
      <c r="E29">
        <f t="shared" si="3"/>
        <v>9854.3964597693248</v>
      </c>
      <c r="F29">
        <f t="shared" si="4"/>
        <v>9854.5</v>
      </c>
      <c r="G29">
        <f t="shared" si="9"/>
        <v>-0.28076874926773598</v>
      </c>
      <c r="H29" s="11"/>
      <c r="I29" s="12"/>
      <c r="J29" s="6"/>
      <c r="K29">
        <f>G29</f>
        <v>-0.28076874926773598</v>
      </c>
      <c r="O29">
        <f t="shared" si="5"/>
        <v>-0.25187143155379554</v>
      </c>
      <c r="Q29" s="2">
        <f t="shared" si="6"/>
        <v>37727.868699999999</v>
      </c>
      <c r="R29">
        <f t="shared" si="7"/>
        <v>8.35054971060416E-4</v>
      </c>
      <c r="S29">
        <f t="shared" si="8"/>
        <v>2.889731771394044E-2</v>
      </c>
    </row>
    <row r="30" spans="1:19">
      <c r="D30" s="6"/>
    </row>
    <row r="31" spans="1:19">
      <c r="D31" s="6"/>
    </row>
    <row r="32" spans="1:19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</vt:lpstr>
      <vt:lpstr>BAV</vt:lpstr>
      <vt:lpstr>A (2)</vt:lpstr>
      <vt:lpstr>A (3)</vt:lpstr>
      <vt:lpstr>A (4)</vt:lpstr>
      <vt:lpstr>A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2024-02-18T07:04:48Z</dcterms:modified>
</cp:coreProperties>
</file>