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45A8C78-0F34-4E31-A45E-A92ECCF96F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Q22" i="1"/>
  <c r="B2" i="1"/>
  <c r="C8" i="1"/>
  <c r="E21" i="1"/>
  <c r="F21" i="1"/>
  <c r="G21" i="1"/>
  <c r="K21" i="1"/>
  <c r="C9" i="1"/>
  <c r="D9" i="1"/>
  <c r="F16" i="1"/>
  <c r="F17" i="1" s="1"/>
  <c r="C17" i="1"/>
  <c r="Q23" i="1"/>
  <c r="E23" i="1"/>
  <c r="F23" i="1"/>
  <c r="G23" i="1"/>
  <c r="K23" i="1"/>
  <c r="E22" i="1"/>
  <c r="F22" i="1"/>
  <c r="G22" i="1"/>
  <c r="K22" i="1"/>
  <c r="C11" i="1"/>
  <c r="C12" i="1"/>
  <c r="C16" i="1" l="1"/>
  <c r="D18" i="1" s="1"/>
  <c r="C15" i="1"/>
  <c r="O23" i="1"/>
  <c r="O22" i="1"/>
  <c r="O21" i="1"/>
  <c r="C18" i="1" l="1"/>
  <c r="F18" i="1"/>
  <c r="F19" i="1" s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<sst xmlns="http://schemas.openxmlformats.org/spreadsheetml/2006/main" count="59" uniqueCount="50">
  <si>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</si>
  <si>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</si>
  <si>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</si>
  <si>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</si>
  <si>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</si>
  <si>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</si>
  <si>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</si>
  <si>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</si>
  <si>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</si>
  <si>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</si>
  <si>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</si>
  <si>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</si>
  <si>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</si>
  <si>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</si>
  <si>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</si>
  <si>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</si>
  <si>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</si>
  <si>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</si>
  <si>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</si>
  <si>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</si>
  <si>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</si>
  <si>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</si>
  <si>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</si>
  <si>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</si>
  <si>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</si>
  <si>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</si>
  <si>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</si>
  <si>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</si>
  <si>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</si>
  <si>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</si>
  <si>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</si>
  <si>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</si>
  <si>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</si>
  <si>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</si>
  <si>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</si>
  <si>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</si>
  <si>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</si>
  <si>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</si>
  <si>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</si>
  <si>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</si>
  <si>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</si>
  <si>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</si>
  <si>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G3802-1680</t>
  </si>
  <si>
    <t>2022A</t>
  </si>
  <si>
    <t>EA</t>
  </si>
  <si>
    <t>pr_5</t>
  </si>
  <si>
    <t>VSX</t>
  </si>
  <si>
    <t>I</t>
  </si>
  <si>
    <t>Lyn</t>
  </si>
  <si>
    <t>TYC 3802-1680-1 / GSC 3802-1680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</si>
</sst>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TYC</a:t>
            </a:r>
            <a:r>
              <a:rPr lang="en-AU" baseline="0"/>
              <a:t> 3802-1680-1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0B-48E4-A48F-8CD9A6040A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0B-48E4-A48F-8CD9A6040A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0B-48E4-A48F-8CD9A6040A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7.2860000000218861E-2</c:v>
                </c:pt>
                <c:pt idx="2">
                  <c:v>0.33646500000759261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0B-48E4-A48F-8CD9A6040A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0B-48E4-A48F-8CD9A6040A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0B-48E4-A48F-8CD9A6040A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8.9999999999999998E-4</c:v>
                  </c:pt>
                  <c:pt idx="1">
                    <c:v>8.0000000000000004E-4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0B-48E4-A48F-8CD9A6040A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2.0411619889929844E-3</c:v>
                </c:pt>
                <c:pt idx="1">
                  <c:v>7.0296435355632222E-2</c:v>
                </c:pt>
                <c:pt idx="2">
                  <c:v>0.33698740266318628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0B-48E4-A48F-8CD9A6040A0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</c:v>
                </c:pt>
                <c:pt idx="2">
                  <c:v>608.5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0B-48E4-A48F-8CD9A6040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211536"/>
        <c:axId val="1"/>
      </c:scatterChart>
      <c:valAx>
        <c:axId val="545211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211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D73C2CC-FE8D-30BC-FE8F-F81279CB6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8" ht="20.25" x14ac:dyDescent="0.3">
      <c r="A1" s="1" t="s">
        <v>49</v>
      </c>
      <c r="F1" s="4" t="s">
        <v>42</v>
      </c>
      <c r="G1" s="5" t="s">
        <v>43</v>
      </c>
      <c r="H1" s="3"/>
      <c r="I1" s="6" t="s">
        <v>42</v>
      </c>
      <c r="J1" s="4" t="s">
        <v>42</v>
      </c>
      <c r="K1" s="7">
        <v>8.1053999999999995</v>
      </c>
      <c r="L1" s="7">
        <v>57.400100000000002</v>
      </c>
      <c r="M1" s="8">
        <v>57365.942000000003</v>
      </c>
      <c r="N1" s="8">
        <v>3.63531</v>
      </c>
      <c r="O1" s="9" t="s">
        <v>44</v>
      </c>
      <c r="P1" s="9">
        <v>11.37</v>
      </c>
      <c r="Q1" s="9">
        <v>11.52</v>
      </c>
      <c r="R1" s="10" t="s">
        <v>45</v>
      </c>
    </row>
    <row r="2" spans="1:18" s="11" customFormat="1" ht="12.95" customHeight="1" x14ac:dyDescent="0.2">
      <c r="A2" s="11" t="s">
        <v>23</v>
      </c>
      <c r="B2" s="11" t="str">
        <f>O1</f>
        <v>EA</v>
      </c>
      <c r="C2" s="12" t="s">
        <v>48</v>
      </c>
      <c r="D2" s="13"/>
    </row>
    <row r="3" spans="1:18" s="11" customFormat="1" ht="12.95" customHeight="1" thickBot="1" x14ac:dyDescent="0.25"/>
    <row r="4" spans="1:18" s="11" customFormat="1" ht="12.95" customHeight="1" thickTop="1" thickBot="1" x14ac:dyDescent="0.25">
      <c r="A4" s="14" t="s">
        <v>0</v>
      </c>
      <c r="C4" s="15" t="s">
        <v>37</v>
      </c>
      <c r="D4" s="16" t="s">
        <v>37</v>
      </c>
    </row>
    <row r="5" spans="1:18" s="11" customFormat="1" ht="12.95" customHeight="1" thickTop="1" x14ac:dyDescent="0.2">
      <c r="A5" s="17" t="s">
        <v>28</v>
      </c>
      <c r="C5" s="18">
        <v>-9.5</v>
      </c>
      <c r="D5" s="11" t="s">
        <v>29</v>
      </c>
    </row>
    <row r="6" spans="1:18" s="11" customFormat="1" ht="12.95" customHeight="1" x14ac:dyDescent="0.2">
      <c r="A6" s="14" t="s">
        <v>1</v>
      </c>
    </row>
    <row r="7" spans="1:18" s="11" customFormat="1" ht="12.95" customHeight="1" x14ac:dyDescent="0.2">
      <c r="A7" s="11" t="s">
        <v>2</v>
      </c>
      <c r="C7" s="41">
        <v>55153.519399999997</v>
      </c>
      <c r="D7" s="20" t="s">
        <v>46</v>
      </c>
    </row>
    <row r="8" spans="1:18" s="11" customFormat="1" ht="12.95" customHeight="1" x14ac:dyDescent="0.2">
      <c r="A8" s="11" t="s">
        <v>3</v>
      </c>
      <c r="C8" s="42">
        <f>N1</f>
        <v>3.63531</v>
      </c>
      <c r="D8" s="20" t="s">
        <v>46</v>
      </c>
    </row>
    <row r="9" spans="1:18" s="11" customFormat="1" ht="12.95" customHeight="1" x14ac:dyDescent="0.2">
      <c r="A9" s="22" t="s">
        <v>32</v>
      </c>
      <c r="B9" s="23">
        <v>21</v>
      </c>
      <c r="C9" s="24" t="str">
        <f>"F"&amp;B9</f>
        <v>F21</v>
      </c>
      <c r="D9" s="25" t="str">
        <f>"G"&amp;B9</f>
        <v>G21</v>
      </c>
    </row>
    <row r="10" spans="1:18" s="11" customFormat="1" ht="12.95" customHeight="1" thickBot="1" x14ac:dyDescent="0.25">
      <c r="C10" s="26" t="s">
        <v>19</v>
      </c>
      <c r="D10" s="26" t="s">
        <v>20</v>
      </c>
    </row>
    <row r="11" spans="1:18" s="11" customFormat="1" ht="12.95" customHeight="1" x14ac:dyDescent="0.2">
      <c r="A11" s="11" t="s">
        <v>15</v>
      </c>
      <c r="C11" s="25">
        <f ca="1">INTERCEPT(INDIRECT($D$9):G992,INDIRECT($C$9):F992)</f>
        <v>2.0411619889929844E-3</v>
      </c>
      <c r="D11" s="13"/>
    </row>
    <row r="12" spans="1:18" s="11" customFormat="1" ht="12.95" customHeight="1" x14ac:dyDescent="0.2">
      <c r="A12" s="11" t="s">
        <v>16</v>
      </c>
      <c r="C12" s="25">
        <f ca="1">SLOPE(INDIRECT($D$9):G992,INDIRECT($C$9):F992)</f>
        <v>5.50445752956768E-4</v>
      </c>
      <c r="D12" s="13"/>
    </row>
    <row r="13" spans="1:18" s="11" customFormat="1" ht="12.95" customHeight="1" x14ac:dyDescent="0.2">
      <c r="A13" s="11" t="s">
        <v>18</v>
      </c>
      <c r="C13" s="13" t="s">
        <v>13</v>
      </c>
    </row>
    <row r="14" spans="1:18" s="11" customFormat="1" ht="12.95" customHeight="1" x14ac:dyDescent="0.2"/>
    <row r="15" spans="1:18" s="11" customFormat="1" ht="12.95" customHeight="1" x14ac:dyDescent="0.2">
      <c r="A15" s="27" t="s">
        <v>17</v>
      </c>
      <c r="C15" s="28">
        <f ca="1">(C7+C11)+(C8+C12)*INT(MAX(F21:F3533))</f>
        <v>57364.124592179789</v>
      </c>
      <c r="E15" s="29" t="s">
        <v>34</v>
      </c>
      <c r="F15" s="23">
        <v>1</v>
      </c>
    </row>
    <row r="16" spans="1:18" s="11" customFormat="1" ht="12.95" customHeight="1" x14ac:dyDescent="0.2">
      <c r="A16" s="14" t="s">
        <v>4</v>
      </c>
      <c r="C16" s="30">
        <f ca="1">+C8+C12</f>
        <v>3.6358604457529569</v>
      </c>
      <c r="E16" s="29" t="s">
        <v>30</v>
      </c>
      <c r="F16" s="30">
        <f ca="1">NOW()+15018.5+$C$5/24</f>
        <v>60358.83716145833</v>
      </c>
    </row>
    <row r="17" spans="1:21" s="11" customFormat="1" ht="12.95" customHeight="1" thickBot="1" x14ac:dyDescent="0.25">
      <c r="A17" s="29" t="s">
        <v>27</v>
      </c>
      <c r="C17" s="11">
        <f>COUNT(C21:C2191)</f>
        <v>3</v>
      </c>
      <c r="E17" s="29" t="s">
        <v>35</v>
      </c>
      <c r="F17" s="31">
        <f ca="1">ROUND(2*(F16-$C$7)/$C$8,0)/2+F15</f>
        <v>1433</v>
      </c>
    </row>
    <row r="18" spans="1:21" s="11" customFormat="1" ht="12.95" customHeight="1" thickTop="1" thickBot="1" x14ac:dyDescent="0.25">
      <c r="A18" s="14" t="s">
        <v>5</v>
      </c>
      <c r="C18" s="32">
        <f ca="1">+C15</f>
        <v>57364.124592179789</v>
      </c>
      <c r="D18" s="33">
        <f ca="1">+C16</f>
        <v>3.6358604457529569</v>
      </c>
      <c r="E18" s="29" t="s">
        <v>36</v>
      </c>
      <c r="F18" s="25">
        <f ca="1">ROUND(2*(F16-$C$15)/$C$16,0)/2+F15</f>
        <v>824.5</v>
      </c>
    </row>
    <row r="19" spans="1:21" s="11" customFormat="1" ht="12.95" customHeight="1" thickTop="1" x14ac:dyDescent="0.2">
      <c r="E19" s="29" t="s">
        <v>31</v>
      </c>
      <c r="F19" s="34">
        <f ca="1">+$C$15+$C$16*F18-15018.5-$C$5/24</f>
        <v>45343.787363036441</v>
      </c>
    </row>
    <row r="20" spans="1:21" s="11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5" t="s">
        <v>38</v>
      </c>
      <c r="I20" s="35" t="s">
        <v>39</v>
      </c>
      <c r="J20" s="35" t="s">
        <v>40</v>
      </c>
      <c r="K20" s="35" t="s">
        <v>41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6" t="s">
        <v>14</v>
      </c>
      <c r="U20" s="37" t="s">
        <v>33</v>
      </c>
    </row>
    <row r="21" spans="1:21" s="11" customFormat="1" ht="12.95" customHeight="1" x14ac:dyDescent="0.2">
      <c r="A21" s="38" t="s">
        <v>42</v>
      </c>
      <c r="B21" s="39" t="s">
        <v>47</v>
      </c>
      <c r="C21" s="19">
        <v>55153.519399999997</v>
      </c>
      <c r="D21" s="19">
        <v>8.9999999999999998E-4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2.0411619889929844E-3</v>
      </c>
      <c r="Q21" s="40">
        <f>+C21-15018.5</f>
        <v>40135.019399999997</v>
      </c>
    </row>
    <row r="22" spans="1:21" s="11" customFormat="1" ht="12.95" customHeight="1" x14ac:dyDescent="0.2">
      <c r="A22" s="38" t="s">
        <v>42</v>
      </c>
      <c r="B22" s="39" t="s">
        <v>47</v>
      </c>
      <c r="C22" s="19">
        <v>55604.370699999999</v>
      </c>
      <c r="D22" s="19">
        <v>8.0000000000000004E-4</v>
      </c>
      <c r="E22" s="11">
        <f>+(C22-C$7)/C$8</f>
        <v>124.0200423072591</v>
      </c>
      <c r="F22" s="11">
        <f>ROUND(2*E22,0)/2</f>
        <v>124</v>
      </c>
      <c r="G22" s="11">
        <f>+C22-(C$7+F22*C$8)</f>
        <v>7.2860000000218861E-2</v>
      </c>
      <c r="K22" s="11">
        <f>+G22</f>
        <v>7.2860000000218861E-2</v>
      </c>
      <c r="O22" s="11">
        <f ca="1">+C$11+C$12*$F22</f>
        <v>7.0296435355632222E-2</v>
      </c>
      <c r="Q22" s="40">
        <f>+C22-15018.5</f>
        <v>40585.870699999999</v>
      </c>
    </row>
    <row r="23" spans="1:21" s="11" customFormat="1" ht="12.95" customHeight="1" x14ac:dyDescent="0.2">
      <c r="A23" s="11" t="s">
        <v>46</v>
      </c>
      <c r="C23" s="21">
        <v>57365.942000000003</v>
      </c>
      <c r="D23" s="21" t="s">
        <v>13</v>
      </c>
      <c r="E23" s="11">
        <f>+(C23-C$7)/C$8</f>
        <v>608.59255469272364</v>
      </c>
      <c r="F23" s="11">
        <f>ROUND(2*E23,0)/2</f>
        <v>608.5</v>
      </c>
      <c r="G23" s="11">
        <f>+C23-(C$7+F23*C$8)</f>
        <v>0.33646500000759261</v>
      </c>
      <c r="K23" s="11">
        <f>+G23</f>
        <v>0.33646500000759261</v>
      </c>
      <c r="O23" s="11">
        <f ca="1">+C$11+C$12*$F23</f>
        <v>0.33698740266318628</v>
      </c>
      <c r="Q23" s="40">
        <f>+C23-15018.5</f>
        <v>42347.442000000003</v>
      </c>
    </row>
    <row r="24" spans="1:21" s="11" customFormat="1" ht="12.95" customHeight="1" x14ac:dyDescent="0.2">
      <c r="C24" s="21"/>
      <c r="D24" s="21"/>
      <c r="Q24" s="40"/>
    </row>
    <row r="25" spans="1:21" s="11" customFormat="1" ht="12.95" customHeight="1" x14ac:dyDescent="0.2">
      <c r="C25" s="21"/>
      <c r="D25" s="21"/>
      <c r="Q25" s="40"/>
    </row>
    <row r="26" spans="1:21" s="11" customFormat="1" ht="12.95" customHeight="1" x14ac:dyDescent="0.2">
      <c r="C26" s="21"/>
      <c r="D26" s="21"/>
      <c r="Q26" s="40"/>
    </row>
    <row r="27" spans="1:21" s="11" customFormat="1" ht="12.95" customHeight="1" x14ac:dyDescent="0.2">
      <c r="C27" s="21"/>
      <c r="D27" s="21"/>
      <c r="Q27" s="40"/>
    </row>
    <row r="28" spans="1:21" s="11" customFormat="1" ht="12.95" customHeight="1" x14ac:dyDescent="0.2">
      <c r="C28" s="21"/>
      <c r="D28" s="21"/>
      <c r="Q28" s="40"/>
    </row>
    <row r="29" spans="1:21" s="11" customFormat="1" ht="12.95" customHeight="1" x14ac:dyDescent="0.2">
      <c r="C29" s="21"/>
      <c r="D29" s="21"/>
      <c r="Q29" s="40"/>
    </row>
    <row r="30" spans="1:21" s="11" customFormat="1" ht="12.95" customHeight="1" x14ac:dyDescent="0.2">
      <c r="C30" s="21"/>
      <c r="D30" s="21"/>
      <c r="Q30" s="40"/>
    </row>
    <row r="31" spans="1:21" s="11" customFormat="1" ht="12.95" customHeight="1" x14ac:dyDescent="0.2">
      <c r="C31" s="21"/>
      <c r="D31" s="21"/>
      <c r="Q31" s="40"/>
    </row>
    <row r="32" spans="1:21" s="11" customFormat="1" ht="12.95" customHeight="1" x14ac:dyDescent="0.2">
      <c r="C32" s="21"/>
      <c r="D32" s="21"/>
      <c r="Q32" s="40"/>
    </row>
    <row r="33" spans="3:17" s="11" customFormat="1" ht="12.95" customHeight="1" x14ac:dyDescent="0.2">
      <c r="C33" s="21"/>
      <c r="D33" s="21"/>
      <c r="Q33" s="40"/>
    </row>
    <row r="34" spans="3:17" s="11" customFormat="1" ht="12.95" customHeight="1" x14ac:dyDescent="0.2">
      <c r="C34" s="21"/>
      <c r="D34" s="21"/>
    </row>
    <row r="35" spans="3:17" s="11" customFormat="1" ht="12.95" customHeight="1" x14ac:dyDescent="0.2">
      <c r="C35" s="21"/>
      <c r="D35" s="21"/>
    </row>
    <row r="36" spans="3:17" s="11" customFormat="1" ht="12.95" customHeight="1" x14ac:dyDescent="0.2">
      <c r="C36" s="21"/>
      <c r="D36" s="21"/>
    </row>
    <row r="37" spans="3:17" s="11" customFormat="1" ht="12.95" customHeight="1" x14ac:dyDescent="0.2">
      <c r="C37" s="21"/>
      <c r="D37" s="21"/>
    </row>
    <row r="38" spans="3:17" s="11" customFormat="1" ht="12.95" customHeight="1" x14ac:dyDescent="0.2">
      <c r="C38" s="21"/>
      <c r="D38" s="21"/>
    </row>
    <row r="39" spans="3:17" s="11" customFormat="1" ht="12.95" customHeight="1" x14ac:dyDescent="0.2">
      <c r="C39" s="21"/>
      <c r="D39" s="21"/>
    </row>
    <row r="40" spans="3:17" s="11" customFormat="1" ht="12.95" customHeight="1" x14ac:dyDescent="0.2">
      <c r="C40" s="21"/>
      <c r="D40" s="21"/>
    </row>
    <row r="41" spans="3:17" s="11" customFormat="1" ht="12.95" customHeight="1" x14ac:dyDescent="0.2">
      <c r="C41" s="21"/>
      <c r="D41" s="21"/>
    </row>
    <row r="42" spans="3:17" s="11" customFormat="1" ht="12.95" customHeight="1" x14ac:dyDescent="0.2">
      <c r="C42" s="21"/>
      <c r="D42" s="21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2024-02-18T07:05:30Z</dcterms:modified>
</cp:coreProperties>
</file>