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66AE1A-221B-4939-BD7A-ABDBFD0EDDE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29" i="1" l="1"/>
  <c r="A29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 s="1"/>
  <c r="E30" i="1"/>
  <c r="F30" i="1"/>
  <c r="G30" i="1"/>
  <c r="Q22" i="1"/>
  <c r="Q23" i="1"/>
  <c r="Q24" i="1"/>
  <c r="Q25" i="1"/>
  <c r="Q26" i="1"/>
  <c r="Q27" i="1"/>
  <c r="Q28" i="1"/>
  <c r="Q29" i="1"/>
  <c r="Q30" i="1"/>
  <c r="C13" i="1"/>
  <c r="E21" i="1"/>
  <c r="F21" i="1"/>
  <c r="G21" i="1"/>
  <c r="F12" i="1"/>
  <c r="D14" i="1"/>
  <c r="D13" i="1"/>
  <c r="C14" i="1"/>
  <c r="C17" i="1"/>
  <c r="Q21" i="1"/>
  <c r="R23" i="1"/>
  <c r="I23" i="1"/>
  <c r="J30" i="1"/>
  <c r="R30" i="1"/>
  <c r="I22" i="1"/>
  <c r="S22" i="1"/>
  <c r="I28" i="1"/>
  <c r="R28" i="1"/>
  <c r="I26" i="1"/>
  <c r="S26" i="1"/>
  <c r="R25" i="1"/>
  <c r="I25" i="1"/>
  <c r="R27" i="1"/>
  <c r="I27" i="1"/>
  <c r="R21" i="1"/>
  <c r="I21" i="1"/>
  <c r="I24" i="1"/>
  <c r="S24" i="1"/>
  <c r="S19" i="1"/>
  <c r="E19" i="1"/>
  <c r="D12" i="1"/>
  <c r="D11" i="1"/>
  <c r="G29" i="1" l="1"/>
  <c r="P26" i="1"/>
  <c r="P28" i="1"/>
  <c r="P23" i="1"/>
  <c r="P21" i="1"/>
  <c r="D15" i="1"/>
  <c r="C19" i="1" s="1"/>
  <c r="P27" i="1"/>
  <c r="P22" i="1"/>
  <c r="P30" i="1"/>
  <c r="P29" i="1"/>
  <c r="P24" i="1"/>
  <c r="P25" i="1"/>
  <c r="D16" i="1"/>
  <c r="D19" i="1" s="1"/>
  <c r="F13" i="1"/>
  <c r="R29" i="1" l="1"/>
  <c r="H29" i="1"/>
  <c r="C12" i="1"/>
  <c r="C11" i="1"/>
  <c r="O25" i="1" l="1"/>
  <c r="O28" i="1"/>
  <c r="O30" i="1"/>
  <c r="O29" i="1"/>
  <c r="O22" i="1"/>
  <c r="O26" i="1"/>
  <c r="O27" i="1"/>
  <c r="O21" i="1"/>
  <c r="O23" i="1"/>
  <c r="C15" i="1"/>
  <c r="O24" i="1"/>
  <c r="C16" i="1"/>
  <c r="D18" i="1" s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<sst xmlns="http://schemas.openxmlformats.org/spreadsheetml/2006/main" count="68" uniqueCount="48">
  <si>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</si>
  <si>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</si>
  <si>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</si>
  <si>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</si>
  <si>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</si>
  <si>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</si>
  <si>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</si>
  <si>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</si>
  <si>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</si>
  <si>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</si>
  <si>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</si>
  <si>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</si>
  <si>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</si>
  <si>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</si>
  <si>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</si>
  <si>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</si>
  <si>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</si>
  <si>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</si>
  <si>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</si>
  <si>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</si>
  <si>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</si>
  <si>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</si>
  <si>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</si>
  <si>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</si>
  <si>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</si>
  <si>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</si>
  <si>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</si>
  <si>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</si>
  <si>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</si>
  <si>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</si>
  <si>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</si>
  <si>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</si>
  <si>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</si>
  <si>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</si>
  <si>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</si>
  <si>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</si>
  <si>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</si>
  <si>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</si>
  <si>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</si>
  <si>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WW Lyn / GSC 2958-1911</t>
  </si>
  <si>
    <t>EA/KE</t>
  </si>
  <si>
    <t>not avail.</t>
  </si>
  <si>
    <t>VSX</t>
  </si>
  <si>
    <t> AJ 87.314 </t>
  </si>
  <si>
    <t>I</t>
  </si>
  <si>
    <t>IBVS 5984</t>
  </si>
  <si>
    <t>vis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</si>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</sst>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Lyn - O-C Diagr.</a:t>
            </a:r>
          </a:p>
        </c:rich>
      </c:tx>
      <c:layout>
        <c:manualLayout>
          <c:xMode val="edge"/>
          <c:yMode val="edge"/>
          <c:x val="0.3709677419354838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8">
                    <c:v>8.0000000000000002E-3</c:v>
                  </c:pt>
                  <c:pt idx="9">
                    <c:v>3.0099999999999998E-2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8">
                    <c:v>8.0000000000000002E-3</c:v>
                  </c:pt>
                  <c:pt idx="9">
                    <c:v>3.0099999999999998E-2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FE-4658-AD6C-F836D51C79E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1.3365799999955925</c:v>
                </c:pt>
                <c:pt idx="1">
                  <c:v>-1.3839750000042841</c:v>
                </c:pt>
                <c:pt idx="2">
                  <c:v>1.3903599999975995</c:v>
                </c:pt>
                <c:pt idx="3">
                  <c:v>-1.4118250000028638</c:v>
                </c:pt>
                <c:pt idx="4">
                  <c:v>1.4382899999982328</c:v>
                </c:pt>
                <c:pt idx="5">
                  <c:v>-1.4411150000014459</c:v>
                </c:pt>
                <c:pt idx="6">
                  <c:v>1.402219999996305</c:v>
                </c:pt>
                <c:pt idx="7">
                  <c:v>1.0035999999963678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FE-4658-AD6C-F836D51C79E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9">
                  <c:v>-3.7069999998493586E-2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FE-4658-AD6C-F836D51C79E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FE-4658-AD6C-F836D51C79E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FE-4658-AD6C-F836D51C79E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FE-4658-AD6C-F836D51C79E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FE-4658-AD6C-F836D51C7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195664"/>
        <c:axId val="1"/>
      </c:scatterChart>
      <c:valAx>
        <c:axId val="850195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195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61290322580646"/>
          <c:y val="0.92097264437689974"/>
          <c:w val="0.37741935483870964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Lyn - Prim. O-C Diagr.</a:t>
            </a:r>
          </a:p>
        </c:rich>
      </c:tx>
      <c:layout>
        <c:manualLayout>
          <c:xMode val="edge"/>
          <c:yMode val="edge"/>
          <c:x val="0.2910605093282258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546856267517483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1.3365799999955925</c:v>
                </c:pt>
                <c:pt idx="2">
                  <c:v>1.3903599999975995</c:v>
                </c:pt>
                <c:pt idx="4">
                  <c:v>1.4382899999982328</c:v>
                </c:pt>
                <c:pt idx="6">
                  <c:v>1.402219999996305</c:v>
                </c:pt>
                <c:pt idx="7">
                  <c:v>1.0035999999963678</c:v>
                </c:pt>
                <c:pt idx="8">
                  <c:v>0</c:v>
                </c:pt>
                <c:pt idx="9">
                  <c:v>-3.7069999998493586E-2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6-4D8A-9DC9-53DCDE0DC0E1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1.3537258325718589</c:v>
                </c:pt>
                <c:pt idx="1">
                  <c:v>1.3530133444798302</c:v>
                </c:pt>
                <c:pt idx="2">
                  <c:v>1.3508758802037439</c:v>
                </c:pt>
                <c:pt idx="3">
                  <c:v>1.3506383841730676</c:v>
                </c:pt>
                <c:pt idx="4">
                  <c:v>1.3456509675288664</c:v>
                </c:pt>
                <c:pt idx="5">
                  <c:v>1.2950643129948247</c:v>
                </c:pt>
                <c:pt idx="6">
                  <c:v>1.2929268487187384</c:v>
                </c:pt>
                <c:pt idx="7">
                  <c:v>1.233077848988323</c:v>
                </c:pt>
                <c:pt idx="8">
                  <c:v>6.9347298674688918E-2</c:v>
                </c:pt>
                <c:pt idx="9">
                  <c:v>-0.11162467670061499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6-4D8A-9DC9-53DCDE0DC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192064"/>
        <c:axId val="1"/>
      </c:scatterChart>
      <c:valAx>
        <c:axId val="850192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509562863893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192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124783778327083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Lyn - Sec. O-C Diagr.</a:t>
            </a:r>
          </a:p>
        </c:rich>
      </c:tx>
      <c:layout>
        <c:manualLayout>
          <c:xMode val="edge"/>
          <c:yMode val="edge"/>
          <c:x val="0.3000002142589319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79592613592767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-1.3839750000042841</c:v>
                </c:pt>
                <c:pt idx="3">
                  <c:v>-1.4118250000028638</c:v>
                </c:pt>
                <c:pt idx="5">
                  <c:v>-1.4411150000014459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D-4413-99A1-F183046DD6AD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-2704</c:v>
                </c:pt>
                <c:pt idx="1">
                  <c:v>-2702.5</c:v>
                </c:pt>
                <c:pt idx="2">
                  <c:v>-2698</c:v>
                </c:pt>
                <c:pt idx="3">
                  <c:v>-2697.5</c:v>
                </c:pt>
                <c:pt idx="4">
                  <c:v>-2687</c:v>
                </c:pt>
                <c:pt idx="5">
                  <c:v>-2580.5</c:v>
                </c:pt>
                <c:pt idx="6">
                  <c:v>-2576</c:v>
                </c:pt>
                <c:pt idx="7">
                  <c:v>-2450</c:v>
                </c:pt>
                <c:pt idx="8">
                  <c:v>0</c:v>
                </c:pt>
                <c:pt idx="9">
                  <c:v>381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-1.3961541072838899</c:v>
                </c:pt>
                <c:pt idx="1">
                  <c:v>-1.3967067994301665</c:v>
                </c:pt>
                <c:pt idx="2">
                  <c:v>-1.3983648758689966</c:v>
                </c:pt>
                <c:pt idx="3">
                  <c:v>-1.3985491065844222</c:v>
                </c:pt>
                <c:pt idx="4">
                  <c:v>-1.402417951608359</c:v>
                </c:pt>
                <c:pt idx="5">
                  <c:v>-1.441659093994005</c:v>
                </c:pt>
                <c:pt idx="6">
                  <c:v>-1.4433171704328349</c:v>
                </c:pt>
                <c:pt idx="7">
                  <c:v>-1.4897433107200779</c:v>
                </c:pt>
                <c:pt idx="8">
                  <c:v>-2.3924738163053569</c:v>
                </c:pt>
                <c:pt idx="9">
                  <c:v>-2.5328576214596392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D-4413-99A1-F183046D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194944"/>
        <c:axId val="1"/>
      </c:scatterChart>
      <c:valAx>
        <c:axId val="85019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085917831698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194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36738979056189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0</xdr:rowOff>
    </xdr:from>
    <xdr:to>
      <xdr:col>18</xdr:col>
      <xdr:colOff>495299</xdr:colOff>
      <xdr:row>18</xdr:row>
      <xdr:rowOff>76200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607A6E59-0CB6-2814-CBD5-E6DFAC2EF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13</xdr:col>
      <xdr:colOff>257175</xdr:colOff>
      <xdr:row>21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FEACD7-9226-C106-9C43-9FB82D116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66675</xdr:rowOff>
    </xdr:from>
    <xdr:to>
      <xdr:col>13</xdr:col>
      <xdr:colOff>142875</xdr:colOff>
      <xdr:row>43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849EB57-00E4-5A18-792A-F12C0E8C1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ht="12.95" customHeight="1" x14ac:dyDescent="0.2">
      <c r="A2" t="s">
        <v>16</v>
      </c>
      <c r="B2" t="s">
        <v>40</v>
      </c>
      <c r="C2" s="10"/>
      <c r="D2" s="10"/>
    </row>
    <row r="3" spans="1:6" ht="12.95" customHeight="1" thickBot="1" x14ac:dyDescent="0.25"/>
    <row r="4" spans="1:6" ht="12.95" customHeight="1" thickTop="1" thickBot="1" x14ac:dyDescent="0.25">
      <c r="A4" s="6" t="s">
        <v>0</v>
      </c>
      <c r="C4" s="32" t="s">
        <v>41</v>
      </c>
      <c r="D4" s="33" t="s">
        <v>41</v>
      </c>
    </row>
    <row r="5" spans="1:6" ht="12.95" customHeight="1" thickTop="1" x14ac:dyDescent="0.2">
      <c r="A5" s="25" t="s">
        <v>31</v>
      </c>
      <c r="B5" s="19"/>
      <c r="C5" s="26">
        <v>-9.5</v>
      </c>
      <c r="D5" s="19" t="s">
        <v>32</v>
      </c>
    </row>
    <row r="6" spans="1:6" ht="12.95" customHeight="1" x14ac:dyDescent="0.2">
      <c r="A6" s="6" t="s">
        <v>1</v>
      </c>
    </row>
    <row r="7" spans="1:6" ht="12.95" customHeight="1" x14ac:dyDescent="0.2">
      <c r="A7" t="s">
        <v>2</v>
      </c>
      <c r="C7" s="42">
        <v>53377.072899999999</v>
      </c>
      <c r="D7" s="34" t="s">
        <v>42</v>
      </c>
    </row>
    <row r="8" spans="1:6" ht="12.95" customHeight="1" x14ac:dyDescent="0.2">
      <c r="A8" t="s">
        <v>3</v>
      </c>
      <c r="C8" s="42">
        <v>5.8123699999999996</v>
      </c>
      <c r="D8" s="34" t="s">
        <v>42</v>
      </c>
    </row>
    <row r="9" spans="1:6" ht="12.95" customHeight="1" x14ac:dyDescent="0.2">
      <c r="A9" s="17" t="s">
        <v>28</v>
      </c>
      <c r="B9" s="17"/>
      <c r="C9" s="18">
        <v>21</v>
      </c>
      <c r="D9" s="18">
        <v>21</v>
      </c>
    </row>
    <row r="10" spans="1:6" ht="12.95" customHeight="1" thickBot="1" x14ac:dyDescent="0.25">
      <c r="A10" s="19"/>
      <c r="B10" s="19"/>
      <c r="C10" s="5" t="s">
        <v>18</v>
      </c>
      <c r="D10" s="5" t="s">
        <v>19</v>
      </c>
    </row>
    <row r="11" spans="1:6" ht="12.95" customHeight="1" x14ac:dyDescent="0.2">
      <c r="A11" s="19" t="s">
        <v>13</v>
      </c>
      <c r="B11" s="19"/>
      <c r="C11" s="20">
        <f ca="1">INTERCEPT(INDIRECT(C14):R$935,INDIRECT(C13):$F$935)</f>
        <v>6.9347298674688918E-2</v>
      </c>
      <c r="D11" s="20">
        <f ca="1">INTERCEPT(INDIRECT(D14):S$935,INDIRECT(D13):$F$935)</f>
        <v>-2.3924738163053569</v>
      </c>
      <c r="E11" s="17" t="s">
        <v>34</v>
      </c>
      <c r="F11">
        <v>1</v>
      </c>
    </row>
    <row r="12" spans="1:6" ht="12.95" customHeight="1" x14ac:dyDescent="0.2">
      <c r="A12" s="19" t="s">
        <v>14</v>
      </c>
      <c r="B12" s="19"/>
      <c r="C12" s="20">
        <f ca="1">SLOPE(INDIRECT(C14):R$935,INDIRECT(C13):$F$935)</f>
        <v>-4.7499206135250368E-4</v>
      </c>
      <c r="D12" s="20">
        <f ca="1">SLOPE(INDIRECT(D14):S$935,INDIRECT(D13):$F$935)</f>
        <v>-3.6846143085113428E-4</v>
      </c>
      <c r="E12" s="17" t="s">
        <v>35</v>
      </c>
      <c r="F12" s="27">
        <f ca="1">NOW()+15018.5+$C$5/24</f>
        <v>60358.840288541665</v>
      </c>
    </row>
    <row r="13" spans="1:6" ht="12.95" customHeight="1" x14ac:dyDescent="0.2">
      <c r="A13" s="17" t="s">
        <v>29</v>
      </c>
      <c r="B13" s="17"/>
      <c r="C13" s="18" t="str">
        <f>"F"&amp;C9</f>
        <v>F21</v>
      </c>
      <c r="D13" s="18" t="str">
        <f>"F"&amp;D9</f>
        <v>F21</v>
      </c>
      <c r="E13" s="17" t="s">
        <v>36</v>
      </c>
      <c r="F13" s="27">
        <f ca="1">ROUND(2*(F12-$C$7)/$C$8,0)/2+F11</f>
        <v>1202</v>
      </c>
    </row>
    <row r="14" spans="1:6" ht="12.95" customHeight="1" x14ac:dyDescent="0.2">
      <c r="A14" s="17" t="s">
        <v>30</v>
      </c>
      <c r="B14" s="17"/>
      <c r="C14" s="18" t="str">
        <f>"R"&amp;C9</f>
        <v>R21</v>
      </c>
      <c r="D14" s="18" t="str">
        <f>"S"&amp;D9</f>
        <v>S21</v>
      </c>
      <c r="E14" s="17" t="s">
        <v>37</v>
      </c>
      <c r="F14" s="28">
        <f ca="1">ROUND(2*(F12-$C$15)/$C$16,0)/2+F11</f>
        <v>821.5</v>
      </c>
    </row>
    <row r="15" spans="1:6" ht="12.95" customHeight="1" x14ac:dyDescent="0.2">
      <c r="A15" s="21" t="s">
        <v>15</v>
      </c>
      <c r="B15" s="19"/>
      <c r="C15" s="22">
        <f ca="1">($C7+C11)+($C8+C12)*INT(MAX($F21:$F3533))</f>
        <v>55591.474245323298</v>
      </c>
      <c r="D15" s="22">
        <f ca="1">($C7+D11)+($C8+D12)*INT(MAX($F21:$F3533))</f>
        <v>55589.053012378543</v>
      </c>
      <c r="E15" s="17" t="s">
        <v>38</v>
      </c>
      <c r="F15" s="29">
        <f ca="1">+$C$15+$C$16*F14-15018.5-$C$5/24</f>
        <v>45347.841827678232</v>
      </c>
    </row>
    <row r="16" spans="1:6" ht="12.95" customHeight="1" x14ac:dyDescent="0.2">
      <c r="A16" s="23" t="s">
        <v>4</v>
      </c>
      <c r="B16" s="19"/>
      <c r="C16" s="24">
        <f ca="1">+$C8+C12</f>
        <v>5.8118950079386469</v>
      </c>
      <c r="D16" s="20">
        <f ca="1">+$C8+D12</f>
        <v>5.8120015385691488</v>
      </c>
      <c r="E16" s="30"/>
      <c r="F16" s="30" t="s">
        <v>33</v>
      </c>
    </row>
    <row r="17" spans="1:19" ht="12.95" customHeight="1" thickBot="1" x14ac:dyDescent="0.25">
      <c r="A17" s="16" t="s">
        <v>27</v>
      </c>
      <c r="C17">
        <f>COUNT(C21:C1247)</f>
        <v>10</v>
      </c>
    </row>
    <row r="18" spans="1:19" ht="12.95" customHeight="1" thickTop="1" thickBot="1" x14ac:dyDescent="0.25">
      <c r="A18" s="6" t="s">
        <v>21</v>
      </c>
      <c r="C18" s="3">
        <f ca="1">+C15</f>
        <v>55591.474245323298</v>
      </c>
      <c r="D18" s="4">
        <f ca="1">+C16</f>
        <v>5.8118950079386469</v>
      </c>
      <c r="E18" s="31">
        <f>R19</f>
        <v>7</v>
      </c>
    </row>
    <row r="19" spans="1:19" ht="12.95" customHeight="1" thickTop="1" thickBot="1" x14ac:dyDescent="0.25">
      <c r="A19" s="6" t="s">
        <v>22</v>
      </c>
      <c r="C19" s="3">
        <f ca="1">+D15</f>
        <v>55589.053012378543</v>
      </c>
      <c r="D19" s="4">
        <f ca="1">+D16</f>
        <v>5.8120015385691488</v>
      </c>
      <c r="E19" s="31">
        <f>S19</f>
        <v>3</v>
      </c>
      <c r="R19">
        <f>COUNT(R21:R322)</f>
        <v>7</v>
      </c>
      <c r="S19">
        <f>COUNT(S21:S322)</f>
        <v>3</v>
      </c>
    </row>
    <row r="20" spans="1:19" ht="12.95" customHeight="1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42</v>
      </c>
      <c r="I20" s="8" t="s">
        <v>46</v>
      </c>
      <c r="J20" s="8" t="s">
        <v>47</v>
      </c>
      <c r="K20" s="8" t="s">
        <v>25</v>
      </c>
      <c r="L20" s="8" t="s">
        <v>26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ht="12.95" customHeight="1" x14ac:dyDescent="0.2">
      <c r="A21" s="35" t="s">
        <v>43</v>
      </c>
      <c r="B21" s="36" t="s">
        <v>44</v>
      </c>
      <c r="C21" s="37">
        <v>37661.760999999999</v>
      </c>
      <c r="D21" s="12"/>
      <c r="E21">
        <f>+(C21-C$7)/C$8</f>
        <v>-2703.7700456096227</v>
      </c>
      <c r="F21">
        <f>ROUND(2*E21,0)/2</f>
        <v>-2704</v>
      </c>
      <c r="G21">
        <f>+C21-(C$7+F21*C$8)</f>
        <v>1.3365799999955925</v>
      </c>
      <c r="I21">
        <f>+G21</f>
        <v>1.3365799999955925</v>
      </c>
      <c r="O21">
        <f ca="1">+C$11+C$12*$F21</f>
        <v>1.3537258325718589</v>
      </c>
      <c r="P21">
        <f ca="1">+D$11+D$12*$F21</f>
        <v>-1.3961541072838899</v>
      </c>
      <c r="Q21" s="2">
        <f>+C21-15018.5</f>
        <v>22643.260999999999</v>
      </c>
      <c r="R21">
        <f>G21</f>
        <v>1.3365799999955925</v>
      </c>
    </row>
    <row r="22" spans="1:19" ht="12.95" customHeight="1" x14ac:dyDescent="0.2">
      <c r="A22" s="35" t="s">
        <v>43</v>
      </c>
      <c r="B22" s="36" t="s">
        <v>44</v>
      </c>
      <c r="C22" s="37">
        <v>37667.758999999998</v>
      </c>
      <c r="D22" s="12"/>
      <c r="E22">
        <f t="shared" ref="E22:E30" si="0">+(C22-C$7)/C$8</f>
        <v>-2702.7381085512452</v>
      </c>
      <c r="F22">
        <f t="shared" ref="F22:F30" si="1">ROUND(2*E22,0)/2</f>
        <v>-2702.5</v>
      </c>
      <c r="G22">
        <f t="shared" ref="G22:G30" si="2">+C22-(C$7+F22*C$8)</f>
        <v>-1.3839750000042841</v>
      </c>
      <c r="I22">
        <f>+G22</f>
        <v>-1.3839750000042841</v>
      </c>
      <c r="O22">
        <f t="shared" ref="O22:O30" ca="1" si="3">+C$11+C$12*$F22</f>
        <v>1.3530133444798302</v>
      </c>
      <c r="P22">
        <f t="shared" ref="P22:P30" ca="1" si="4">+D$11+D$12*$F22</f>
        <v>-1.3967067994301665</v>
      </c>
      <c r="Q22" s="2">
        <f t="shared" ref="Q22:Q30" si="5">+C22-15018.5</f>
        <v>22649.258999999998</v>
      </c>
      <c r="S22">
        <f>G22</f>
        <v>-1.3839750000042841</v>
      </c>
    </row>
    <row r="23" spans="1:19" ht="12.95" customHeight="1" x14ac:dyDescent="0.2">
      <c r="A23" s="35" t="s">
        <v>43</v>
      </c>
      <c r="B23" s="36" t="s">
        <v>44</v>
      </c>
      <c r="C23" s="37">
        <v>37696.688999999998</v>
      </c>
      <c r="D23" s="12"/>
      <c r="E23">
        <f t="shared" si="0"/>
        <v>-2697.7607929295627</v>
      </c>
      <c r="F23">
        <f t="shared" si="1"/>
        <v>-2698</v>
      </c>
      <c r="G23">
        <f t="shared" si="2"/>
        <v>1.3903599999975995</v>
      </c>
      <c r="I23">
        <f>+G23</f>
        <v>1.3903599999975995</v>
      </c>
      <c r="O23">
        <f t="shared" ca="1" si="3"/>
        <v>1.3508758802037439</v>
      </c>
      <c r="P23">
        <f t="shared" ca="1" si="4"/>
        <v>-1.3983648758689966</v>
      </c>
      <c r="Q23" s="2">
        <f t="shared" si="5"/>
        <v>22678.188999999998</v>
      </c>
      <c r="R23">
        <f t="shared" ref="R23:R30" si="6">G23</f>
        <v>1.3903599999975995</v>
      </c>
    </row>
    <row r="24" spans="1:19" ht="12.95" customHeight="1" x14ac:dyDescent="0.2">
      <c r="A24" s="35" t="s">
        <v>43</v>
      </c>
      <c r="B24" s="36" t="s">
        <v>44</v>
      </c>
      <c r="C24" s="37">
        <v>37696.792999999998</v>
      </c>
      <c r="D24" s="12"/>
      <c r="E24">
        <f t="shared" si="0"/>
        <v>-2697.7429000562597</v>
      </c>
      <c r="F24">
        <f t="shared" si="1"/>
        <v>-2697.5</v>
      </c>
      <c r="G24">
        <f t="shared" si="2"/>
        <v>-1.4118250000028638</v>
      </c>
      <c r="I24">
        <f>+G24</f>
        <v>-1.4118250000028638</v>
      </c>
      <c r="O24">
        <f t="shared" ca="1" si="3"/>
        <v>1.3506383841730676</v>
      </c>
      <c r="P24">
        <f t="shared" ca="1" si="4"/>
        <v>-1.3985491065844222</v>
      </c>
      <c r="Q24" s="2">
        <f t="shared" si="5"/>
        <v>22678.292999999998</v>
      </c>
      <c r="S24">
        <f>G24</f>
        <v>-1.4118250000028638</v>
      </c>
    </row>
    <row r="25" spans="1:19" ht="12.95" customHeight="1" x14ac:dyDescent="0.2">
      <c r="A25" s="35" t="s">
        <v>43</v>
      </c>
      <c r="B25" s="36" t="s">
        <v>44</v>
      </c>
      <c r="C25" s="37">
        <v>37760.673000000003</v>
      </c>
      <c r="D25" s="12"/>
      <c r="E25">
        <f t="shared" si="0"/>
        <v>-2686.7525467236251</v>
      </c>
      <c r="F25">
        <f t="shared" si="1"/>
        <v>-2687</v>
      </c>
      <c r="G25">
        <f t="shared" si="2"/>
        <v>1.4382899999982328</v>
      </c>
      <c r="I25">
        <f>+G25</f>
        <v>1.4382899999982328</v>
      </c>
      <c r="O25">
        <f t="shared" ca="1" si="3"/>
        <v>1.3456509675288664</v>
      </c>
      <c r="P25">
        <f t="shared" ca="1" si="4"/>
        <v>-1.402417951608359</v>
      </c>
      <c r="Q25" s="2">
        <f t="shared" si="5"/>
        <v>22742.173000000003</v>
      </c>
      <c r="R25">
        <f t="shared" si="6"/>
        <v>1.4382899999982328</v>
      </c>
    </row>
    <row r="26" spans="1:19" ht="12.95" customHeight="1" x14ac:dyDescent="0.2">
      <c r="A26" s="35" t="s">
        <v>43</v>
      </c>
      <c r="B26" s="36" t="s">
        <v>44</v>
      </c>
      <c r="C26" s="37">
        <v>38376.811000000002</v>
      </c>
      <c r="D26" s="12"/>
      <c r="E26">
        <f t="shared" si="0"/>
        <v>-2580.7479393087501</v>
      </c>
      <c r="F26">
        <f t="shared" si="1"/>
        <v>-2580.5</v>
      </c>
      <c r="G26">
        <f t="shared" si="2"/>
        <v>-1.4411150000014459</v>
      </c>
      <c r="I26">
        <f>+G26</f>
        <v>-1.4411150000014459</v>
      </c>
      <c r="O26">
        <f t="shared" ca="1" si="3"/>
        <v>1.2950643129948247</v>
      </c>
      <c r="P26">
        <f t="shared" ca="1" si="4"/>
        <v>-1.441659093994005</v>
      </c>
      <c r="Q26" s="2">
        <f t="shared" si="5"/>
        <v>23358.311000000002</v>
      </c>
      <c r="S26">
        <f>G26</f>
        <v>-1.4411150000014459</v>
      </c>
    </row>
    <row r="27" spans="1:19" ht="12.95" customHeight="1" x14ac:dyDescent="0.2">
      <c r="A27" s="35" t="s">
        <v>43</v>
      </c>
      <c r="B27" s="36" t="s">
        <v>44</v>
      </c>
      <c r="C27" s="37">
        <v>38405.81</v>
      </c>
      <c r="D27" s="12"/>
      <c r="E27">
        <f t="shared" si="0"/>
        <v>-2575.7587524538189</v>
      </c>
      <c r="F27">
        <f t="shared" si="1"/>
        <v>-2576</v>
      </c>
      <c r="G27">
        <f t="shared" si="2"/>
        <v>1.402219999996305</v>
      </c>
      <c r="I27">
        <f>+G27</f>
        <v>1.402219999996305</v>
      </c>
      <c r="O27">
        <f t="shared" ca="1" si="3"/>
        <v>1.2929268487187384</v>
      </c>
      <c r="P27">
        <f t="shared" ca="1" si="4"/>
        <v>-1.4433171704328349</v>
      </c>
      <c r="Q27" s="2">
        <f t="shared" si="5"/>
        <v>23387.309999999998</v>
      </c>
      <c r="R27">
        <f t="shared" si="6"/>
        <v>1.402219999996305</v>
      </c>
    </row>
    <row r="28" spans="1:19" ht="12.95" customHeight="1" x14ac:dyDescent="0.2">
      <c r="A28" s="35" t="s">
        <v>43</v>
      </c>
      <c r="B28" s="36" t="s">
        <v>44</v>
      </c>
      <c r="C28" s="37">
        <v>39137.769999999997</v>
      </c>
      <c r="D28" s="12"/>
      <c r="E28">
        <f t="shared" si="0"/>
        <v>-2449.8273337726268</v>
      </c>
      <c r="F28">
        <f t="shared" si="1"/>
        <v>-2450</v>
      </c>
      <c r="G28">
        <f t="shared" si="2"/>
        <v>1.0035999999963678</v>
      </c>
      <c r="I28">
        <f>+G28</f>
        <v>1.0035999999963678</v>
      </c>
      <c r="O28">
        <f t="shared" ca="1" si="3"/>
        <v>1.233077848988323</v>
      </c>
      <c r="P28">
        <f t="shared" ca="1" si="4"/>
        <v>-1.4897433107200779</v>
      </c>
      <c r="Q28" s="2">
        <f t="shared" si="5"/>
        <v>24119.269999999997</v>
      </c>
      <c r="R28">
        <f t="shared" si="6"/>
        <v>1.0035999999963678</v>
      </c>
    </row>
    <row r="29" spans="1:19" ht="12.95" customHeight="1" x14ac:dyDescent="0.2">
      <c r="A29" s="38" t="str">
        <f>$D$7</f>
        <v>VSX</v>
      </c>
      <c r="B29" s="39" t="s">
        <v>44</v>
      </c>
      <c r="C29" s="38">
        <f>$C$7</f>
        <v>53377.072899999999</v>
      </c>
      <c r="D29" s="38">
        <v>8.0000000000000002E-3</v>
      </c>
      <c r="E29">
        <f t="shared" si="0"/>
        <v>0</v>
      </c>
      <c r="F29">
        <f t="shared" si="1"/>
        <v>0</v>
      </c>
      <c r="G29">
        <f t="shared" si="2"/>
        <v>0</v>
      </c>
      <c r="H29">
        <f t="shared" ref="H22:H30" si="7">+G29</f>
        <v>0</v>
      </c>
      <c r="O29">
        <f t="shared" ca="1" si="3"/>
        <v>6.9347298674688918E-2</v>
      </c>
      <c r="P29">
        <f t="shared" ca="1" si="4"/>
        <v>-2.3924738163053569</v>
      </c>
      <c r="Q29" s="2">
        <f t="shared" si="5"/>
        <v>38358.572899999999</v>
      </c>
      <c r="R29">
        <f t="shared" si="6"/>
        <v>0</v>
      </c>
    </row>
    <row r="30" spans="1:19" ht="12.95" customHeight="1" x14ac:dyDescent="0.2">
      <c r="A30" s="40" t="s">
        <v>45</v>
      </c>
      <c r="B30" s="40"/>
      <c r="C30" s="41">
        <v>55591.548799999997</v>
      </c>
      <c r="D30" s="41">
        <v>3.0099999999999998E-2</v>
      </c>
      <c r="E30">
        <f t="shared" si="0"/>
        <v>380.99362222294826</v>
      </c>
      <c r="F30">
        <f t="shared" si="1"/>
        <v>381</v>
      </c>
      <c r="G30">
        <f t="shared" si="2"/>
        <v>-3.7069999998493586E-2</v>
      </c>
      <c r="J30">
        <f>+G30</f>
        <v>-3.7069999998493586E-2</v>
      </c>
      <c r="O30">
        <f t="shared" ca="1" si="3"/>
        <v>-0.11162467670061499</v>
      </c>
      <c r="P30">
        <f t="shared" ca="1" si="4"/>
        <v>-2.5328576214596392</v>
      </c>
      <c r="Q30" s="2">
        <f t="shared" si="5"/>
        <v>40573.048799999997</v>
      </c>
      <c r="R30">
        <f t="shared" si="6"/>
        <v>-3.7069999998493586E-2</v>
      </c>
    </row>
    <row r="31" spans="1:19" ht="12.95" customHeight="1" x14ac:dyDescent="0.2">
      <c r="A31" s="13"/>
      <c r="B31" s="14"/>
      <c r="C31" s="11"/>
      <c r="D31" s="11"/>
      <c r="Q31" s="2"/>
    </row>
    <row r="32" spans="1:19" ht="12.95" customHeight="1" x14ac:dyDescent="0.2">
      <c r="A32" s="13"/>
      <c r="B32" s="14"/>
      <c r="C32" s="11"/>
      <c r="D32" s="11"/>
      <c r="Q32" s="2"/>
    </row>
    <row r="33" spans="1:17" ht="12.95" customHeight="1" x14ac:dyDescent="0.2">
      <c r="A33" s="15"/>
      <c r="B33" s="10"/>
      <c r="C33" s="11"/>
      <c r="D33" s="12"/>
      <c r="Q33" s="2"/>
    </row>
    <row r="34" spans="1:17" ht="12.95" customHeight="1" x14ac:dyDescent="0.2">
      <c r="A34" s="15"/>
      <c r="B34" s="10"/>
      <c r="C34" s="11"/>
      <c r="D34" s="12"/>
      <c r="Q34" s="2"/>
    </row>
    <row r="35" spans="1:17" ht="12.95" customHeight="1" x14ac:dyDescent="0.2">
      <c r="A35" s="15"/>
      <c r="B35" s="10"/>
      <c r="C35" s="11"/>
      <c r="D35" s="12"/>
      <c r="Q35" s="2"/>
    </row>
    <row r="36" spans="1:17" ht="12.95" customHeight="1" x14ac:dyDescent="0.2"/>
    <row r="37" spans="1:17" ht="12.95" customHeight="1" x14ac:dyDescent="0.2"/>
    <row r="38" spans="1:17" ht="12.95" customHeight="1" x14ac:dyDescent="0.2"/>
    <row r="39" spans="1:17" ht="12.95" customHeight="1" x14ac:dyDescent="0.2"/>
    <row r="40" spans="1:17" ht="12.95" customHeight="1" x14ac:dyDescent="0.2"/>
    <row r="41" spans="1:17" ht="12.95" customHeight="1" x14ac:dyDescent="0.2"/>
    <row r="42" spans="1:17" ht="12.95" customHeight="1" x14ac:dyDescent="0.2"/>
    <row r="43" spans="1:17" ht="12.95" customHeight="1" x14ac:dyDescent="0.2"/>
    <row r="44" spans="1:17" ht="12.95" customHeight="1" x14ac:dyDescent="0.2"/>
    <row r="45" spans="1:17" ht="12.95" customHeight="1" x14ac:dyDescent="0.2"/>
    <row r="46" spans="1:17" ht="12.95" customHeight="1" x14ac:dyDescent="0.2"/>
    <row r="47" spans="1:17" ht="12.95" customHeight="1" x14ac:dyDescent="0.2"/>
    <row r="48" spans="1:17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2024-02-18T07:10:00Z</dcterms:modified>
</cp:coreProperties>
</file>