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682DE3F-46E5-491E-AEE5-8852D1584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3" i="1" l="1"/>
  <c r="F43" i="1" s="1"/>
  <c r="G43" i="1" s="1"/>
  <c r="K43" i="1" s="1"/>
  <c r="Q43" i="1"/>
  <c r="E44" i="1"/>
  <c r="F44" i="1"/>
  <c r="G44" i="1" s="1"/>
  <c r="K44" i="1" s="1"/>
  <c r="Q44" i="1"/>
  <c r="G11" i="1"/>
  <c r="F11" i="1"/>
  <c r="C7" i="1"/>
  <c r="C8" i="1"/>
  <c r="E29" i="1"/>
  <c r="F29" i="1"/>
  <c r="G29" i="1"/>
  <c r="K29" i="1"/>
  <c r="E27" i="1"/>
  <c r="F27" i="1"/>
  <c r="G27" i="1"/>
  <c r="N27" i="1"/>
  <c r="E28" i="1"/>
  <c r="F28" i="1"/>
  <c r="G28" i="1"/>
  <c r="J28" i="1"/>
  <c r="E30" i="1"/>
  <c r="F30" i="1"/>
  <c r="G30" i="1"/>
  <c r="K30" i="1"/>
  <c r="E31" i="1"/>
  <c r="F31" i="1"/>
  <c r="G31" i="1"/>
  <c r="K31" i="1"/>
  <c r="E32" i="1"/>
  <c r="F32" i="1"/>
  <c r="G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E38" i="1"/>
  <c r="F38" i="1"/>
  <c r="G38" i="1"/>
  <c r="K38" i="1"/>
  <c r="E39" i="1"/>
  <c r="F39" i="1"/>
  <c r="G39" i="1"/>
  <c r="K39" i="1"/>
  <c r="E40" i="1"/>
  <c r="F40" i="1"/>
  <c r="G40" i="1"/>
  <c r="E41" i="1"/>
  <c r="F41" i="1"/>
  <c r="G41" i="1"/>
  <c r="K41" i="1"/>
  <c r="E42" i="1"/>
  <c r="F42" i="1"/>
  <c r="G42" i="1"/>
  <c r="K42" i="1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31" i="2"/>
  <c r="C31" i="2"/>
  <c r="E31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E26" i="1"/>
  <c r="G14" i="2"/>
  <c r="C14" i="2"/>
  <c r="E14" i="2"/>
  <c r="E25" i="1"/>
  <c r="G13" i="2"/>
  <c r="C13" i="2"/>
  <c r="E13" i="2"/>
  <c r="E24" i="1"/>
  <c r="G12" i="2"/>
  <c r="C12" i="2"/>
  <c r="E12" i="2"/>
  <c r="E23" i="1"/>
  <c r="F23" i="1"/>
  <c r="G23" i="1"/>
  <c r="L23" i="1"/>
  <c r="G11" i="2"/>
  <c r="C11" i="2"/>
  <c r="E11" i="2"/>
  <c r="E22" i="1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31" i="2"/>
  <c r="D31" i="2"/>
  <c r="B31" i="2"/>
  <c r="A31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42" i="1"/>
  <c r="Q41" i="1"/>
  <c r="E21" i="1"/>
  <c r="F21" i="1"/>
  <c r="G21" i="1"/>
  <c r="H21" i="1"/>
  <c r="F22" i="1"/>
  <c r="G22" i="1"/>
  <c r="F24" i="1"/>
  <c r="G24" i="1"/>
  <c r="I24" i="1"/>
  <c r="F25" i="1"/>
  <c r="G25" i="1"/>
  <c r="N25" i="1"/>
  <c r="F26" i="1"/>
  <c r="G26" i="1"/>
  <c r="Q36" i="1"/>
  <c r="K40" i="1"/>
  <c r="Q40" i="1"/>
  <c r="E14" i="1"/>
  <c r="E15" i="1" s="1"/>
  <c r="C17" i="1"/>
  <c r="Q39" i="1"/>
  <c r="Q38" i="1"/>
  <c r="Q37" i="1"/>
  <c r="K37" i="1"/>
  <c r="L22" i="1"/>
  <c r="Q22" i="1"/>
  <c r="Q23" i="1"/>
  <c r="Q30" i="1"/>
  <c r="Q31" i="1"/>
  <c r="K32" i="1"/>
  <c r="Q32" i="1"/>
  <c r="Q33" i="1"/>
  <c r="Q34" i="1"/>
  <c r="Q35" i="1"/>
  <c r="Q25" i="1"/>
  <c r="Q26" i="1"/>
  <c r="Q27" i="1"/>
  <c r="N26" i="1"/>
  <c r="Q29" i="1"/>
  <c r="Q28" i="1"/>
  <c r="Q24" i="1"/>
  <c r="Q21" i="1"/>
  <c r="C12" i="1"/>
  <c r="C16" i="1" l="1"/>
  <c r="D18" i="1" s="1"/>
  <c r="C11" i="1"/>
  <c r="O25" i="1" l="1"/>
  <c r="O36" i="1"/>
  <c r="O42" i="1"/>
  <c r="O24" i="1"/>
  <c r="O29" i="1"/>
  <c r="O28" i="1"/>
  <c r="O34" i="1"/>
  <c r="O26" i="1"/>
  <c r="O27" i="1"/>
  <c r="O41" i="1"/>
  <c r="O44" i="1"/>
  <c r="O40" i="1"/>
  <c r="O32" i="1"/>
  <c r="O38" i="1"/>
  <c r="O33" i="1"/>
  <c r="O23" i="1"/>
  <c r="O30" i="1"/>
  <c r="O21" i="1"/>
  <c r="O37" i="1"/>
  <c r="O43" i="1"/>
  <c r="O35" i="1"/>
  <c r="O31" i="1"/>
  <c r="C15" i="1"/>
  <c r="E16" i="1" s="1"/>
  <c r="E17" i="1" s="1"/>
  <c r="O39" i="1"/>
  <c r="O22" i="1"/>
  <c r="C18" i="1" l="1"/>
</calcChain>
</file>

<file path=xl/sharedStrings.xml><?xml version="1.0" encoding="utf-8"?>
<sst xmlns="http://schemas.openxmlformats.org/spreadsheetml/2006/main" count="274" uniqueCount="163">
  <si>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</si>
  <si>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</si>
  <si>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</si>
  <si>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</si>
  <si>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</si>
  <si>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</si>
  <si>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</si>
  <si>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</si>
  <si>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</si>
  <si>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</si>
  <si>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</si>
  <si>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</si>
  <si>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</si>
  <si>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</si>
  <si>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</si>
  <si>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</si>
  <si>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</si>
  <si>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</si>
  <si>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</si>
  <si>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</si>
  <si>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</si>
  <si>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</si>
  <si>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</si>
  <si>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</si>
  <si>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</si>
  <si>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</si>
  <si>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BBSAG</t>
  </si>
  <si>
    <t>Krobusek B</t>
  </si>
  <si>
    <t>BBSAG Bull.115</t>
  </si>
  <si>
    <t>B</t>
  </si>
  <si>
    <t>Krajci</t>
  </si>
  <si>
    <t>E.Bl„ttler BBS 126</t>
  </si>
  <si>
    <t>R.Diethelm BBS 128</t>
  </si>
  <si>
    <t>IBVS 5592</t>
  </si>
  <si>
    <t>I</t>
  </si>
  <si>
    <t>EW/D:</t>
  </si>
  <si>
    <t>IBVS 5602</t>
  </si>
  <si>
    <t># of data points:</t>
  </si>
  <si>
    <t>IBVS 5710</t>
  </si>
  <si>
    <t>II</t>
  </si>
  <si>
    <t>DF Lyr / GSC 02117-00417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</si>
  <si>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</si>
  <si>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</si>
  <si>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</si>
  <si>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</si>
  <si>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</si>
  <si>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</si>
  <si>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5806</t>
  </si>
  <si>
    <t>IBVS 5875</t>
  </si>
  <si>
    <t>IBVS 5874</t>
  </si>
  <si>
    <t>Start of linear fit &gt;&gt;&gt;&gt;&gt;&gt;&gt;&gt;&gt;&gt;&gt;&gt;&gt;&gt;&gt;&gt;&gt;&gt;&gt;&gt;&gt;</t>
  </si>
  <si>
    <t>IBVS 5945</t>
  </si>
  <si>
    <t>Add cycle</t>
  </si>
  <si>
    <t>Old Cycle</t>
  </si>
  <si>
    <t>IBVS 6010</t>
  </si>
  <si>
    <t>IBVS 6070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</si>
  <si>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</si>
  <si>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</si>
  <si>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</si>
  <si>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</si>
  <si>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</si>
  <si>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</si>
  <si>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</si>
  <si>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</si>
  <si>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</si>
  <si>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</si>
  <si>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</si>
  <si>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</si>
  <si>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2447681.91 </t>
  </si>
  <si>
    <t> 04.06.1989 09:50 </t>
  </si>
  <si>
    <t> 0.03 </t>
  </si>
  <si>
    <t>E </t>
  </si>
  <si>
    <t>?</t>
  </si>
  <si>
    <t> D.Polsgrove et al. </t>
  </si>
  <si>
    <t>IBVS 5710 </t>
  </si>
  <si>
    <t>2448101.77 </t>
  </si>
  <si>
    <t> 29.07.1990 06:28 </t>
  </si>
  <si>
    <t>2450637.674 </t>
  </si>
  <si>
    <t> 08.07.1997 04:10 </t>
  </si>
  <si>
    <t> 0.033 </t>
  </si>
  <si>
    <t> B.Krobusek </t>
  </si>
  <si>
    <t> BBS 115 </t>
  </si>
  <si>
    <t>2452086.551 </t>
  </si>
  <si>
    <t> 26.06.2001 01:13 </t>
  </si>
  <si>
    <t> 0.030 </t>
  </si>
  <si>
    <t> E.Blättler </t>
  </si>
  <si>
    <t> BBS 126 </t>
  </si>
  <si>
    <t>2452121.4700 </t>
  </si>
  <si>
    <t> 30.07.2001 23:16 </t>
  </si>
  <si>
    <t> 0.0332 </t>
  </si>
  <si>
    <t>2452415.5219 </t>
  </si>
  <si>
    <t> 21.05.2002 00:31 </t>
  </si>
  <si>
    <t> 0.0384 </t>
  </si>
  <si>
    <t> R.Diethelm </t>
  </si>
  <si>
    <t> BBS 128 </t>
  </si>
  <si>
    <t>2453105.4761 </t>
  </si>
  <si>
    <t> 09.04.2004 23:25 </t>
  </si>
  <si>
    <t> 0.0361 </t>
  </si>
  <si>
    <t> T.Krajci </t>
  </si>
  <si>
    <t>IBVS 5592 </t>
  </si>
  <si>
    <t>2453173.8661 </t>
  </si>
  <si>
    <t> 17.06.2004 08:47 </t>
  </si>
  <si>
    <t> 0.0364 </t>
  </si>
  <si>
    <t> R.Nelson </t>
  </si>
  <si>
    <t>IBVS 5602 </t>
  </si>
  <si>
    <t>2453513.7956 </t>
  </si>
  <si>
    <t> 23.05.2005 07:05 </t>
  </si>
  <si>
    <t> 0.0375 </t>
  </si>
  <si>
    <t>2453515.8135 </t>
  </si>
  <si>
    <t> 25.05.2005 07:31 </t>
  </si>
  <si>
    <t> 0.0355 </t>
  </si>
  <si>
    <t>2453518.6988 </t>
  </si>
  <si>
    <t> 28.05.2005 04:46 </t>
  </si>
  <si>
    <t> 0.0351 </t>
  </si>
  <si>
    <t>2453519.8523 </t>
  </si>
  <si>
    <t> 29.05.2005 08:27 </t>
  </si>
  <si>
    <t> 0.0344 </t>
  </si>
  <si>
    <t>2453522.7372 </t>
  </si>
  <si>
    <t> 01.06.2005 05:41 </t>
  </si>
  <si>
    <t> 0.0336 </t>
  </si>
  <si>
    <t>2453528.7986 </t>
  </si>
  <si>
    <t> 07.06.2005 07:09 </t>
  </si>
  <si>
    <t> 0.0352 </t>
  </si>
  <si>
    <t>2453933.6540 </t>
  </si>
  <si>
    <t> 17.07.2006 03:41 </t>
  </si>
  <si>
    <t> 0.0353 </t>
  </si>
  <si>
    <t>C </t>
  </si>
  <si>
    <t>o</t>
  </si>
  <si>
    <t>IBVS 5806 </t>
  </si>
  <si>
    <t>2454533.0031 </t>
  </si>
  <si>
    <t> 07.03.2008 12:04 </t>
  </si>
  <si>
    <t> 0.0370 </t>
  </si>
  <si>
    <t>IBVS 5875 </t>
  </si>
  <si>
    <t>2454600.5257 </t>
  </si>
  <si>
    <t> 14.05.2008 00:37 </t>
  </si>
  <si>
    <t> 0.0356 </t>
  </si>
  <si>
    <t>-I</t>
  </si>
  <si>
    <t> F.Agerer </t>
  </si>
  <si>
    <t>BAVM 201 </t>
  </si>
  <si>
    <t>2455339.8235 </t>
  </si>
  <si>
    <t> 23.05.2010 07:45 </t>
  </si>
  <si>
    <t>47715.5</t>
  </si>
  <si>
    <t> 0.0324 </t>
  </si>
  <si>
    <t>IBVS 5945 </t>
  </si>
  <si>
    <t>2455711.4958 </t>
  </si>
  <si>
    <t> 29.05.2011 23:53 </t>
  </si>
  <si>
    <t>48359.5</t>
  </si>
  <si>
    <t> 0.0343 </t>
  </si>
  <si>
    <t>BAVM 220 </t>
  </si>
  <si>
    <t>2456072.4875 </t>
  </si>
  <si>
    <t> 24.05.2012 23:42 </t>
  </si>
  <si>
    <t>48985</t>
  </si>
  <si>
    <t>BAVM 231 </t>
  </si>
  <si>
    <t>2456908.4547 </t>
  </si>
  <si>
    <t> 07.09.2014 22:54 </t>
  </si>
  <si>
    <t>50433.5</t>
  </si>
  <si>
    <t> 0.0297 </t>
  </si>
  <si>
    <t>BAVM 239 </t>
  </si>
  <si>
    <t>VSB, 108</t>
  </si>
  <si>
    <t>PE?</t>
  </si>
  <si>
    <t>Nelson pers com</t>
  </si>
  <si>
    <t>S6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</si>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</sst>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2" fontId="0" fillId="0" borderId="0" xfId="0" applyNumberFormat="1" applyAlignment="1"/>
    <xf numFmtId="0" fontId="5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65" fontId="9" fillId="0" borderId="0" xfId="0" applyNumberFormat="1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166" fontId="22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DF Lyr - O-C Diagr.</a:t>
            </a:r>
          </a:p>
        </c:rich>
      </c:tx>
      <c:layout>
        <c:manualLayout>
          <c:xMode val="edge"/>
          <c:yMode val="edge"/>
          <c:x val="0.3743595127532135"/>
          <c:y val="3.5483870967741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2760154180279"/>
          <c:y val="0.15483895356437999"/>
          <c:w val="0.79658252634636473"/>
          <c:h val="0.641936494985658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48-4E18-89FA-5D1DBD3A0F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3">
                  <c:v>3.3296000001428183E-2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48-4E18-89FA-5D1DBD3A0F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7">
                  <c:v>3.6068000001250766E-2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48-4E18-89FA-5D1DBD3A0F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8">
                  <c:v>3.6399999997229315E-2</c:v>
                </c:pt>
                <c:pt idx="9">
                  <c:v>3.7507999993977137E-2</c:v>
                </c:pt>
                <c:pt idx="10">
                  <c:v>3.545999999914784E-2</c:v>
                </c:pt>
                <c:pt idx="11">
                  <c:v>3.5120000000461005E-2</c:v>
                </c:pt>
                <c:pt idx="12">
                  <c:v>3.436399999918649E-2</c:v>
                </c:pt>
                <c:pt idx="13">
                  <c:v>3.3624000003328547E-2</c:v>
                </c:pt>
                <c:pt idx="14">
                  <c:v>3.5179999998945277E-2</c:v>
                </c:pt>
                <c:pt idx="15">
                  <c:v>3.5288000100990757E-2</c:v>
                </c:pt>
                <c:pt idx="16">
                  <c:v>3.6959999997634441E-2</c:v>
                </c:pt>
                <c:pt idx="17">
                  <c:v>3.5583999997470528E-2</c:v>
                </c:pt>
                <c:pt idx="18">
                  <c:v>3.241600000183098E-2</c:v>
                </c:pt>
                <c:pt idx="19">
                  <c:v>3.428400000120746E-2</c:v>
                </c:pt>
                <c:pt idx="20">
                  <c:v>3.2420000003185123E-2</c:v>
                </c:pt>
                <c:pt idx="21">
                  <c:v>2.9712000003200956E-2</c:v>
                </c:pt>
                <c:pt idx="22">
                  <c:v>1.9544000140740536E-2</c:v>
                </c:pt>
                <c:pt idx="23">
                  <c:v>1.9288000170490704E-2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48-4E18-89FA-5D1DBD3A0F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1">
                  <c:v>3.0348000000230968E-2</c:v>
                </c:pt>
                <c:pt idx="2">
                  <c:v>2.972800000134157E-2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48-4E18-89FA-5D1DBD3A0F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48-4E18-89FA-5D1DBD3A0F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  <c:pt idx="4">
                  <c:v>3.0451999999058899E-2</c:v>
                </c:pt>
                <c:pt idx="5">
                  <c:v>3.3208000000740867E-2</c:v>
                </c:pt>
                <c:pt idx="6">
                  <c:v>3.8392000002204441E-2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48-4E18-89FA-5D1DBD3A0F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9.6725877545286582E-2</c:v>
                </c:pt>
                <c:pt idx="1">
                  <c:v>4.9968098976097754E-2</c:v>
                </c:pt>
                <c:pt idx="2">
                  <c:v>4.8980588375337593E-2</c:v>
                </c:pt>
                <c:pt idx="3">
                  <c:v>4.3016160087034988E-2</c:v>
                </c:pt>
                <c:pt idx="4">
                  <c:v>3.9608400137607656E-2</c:v>
                </c:pt>
                <c:pt idx="5">
                  <c:v>3.9526277262905266E-2</c:v>
                </c:pt>
                <c:pt idx="6">
                  <c:v>3.8834680491651244E-2</c:v>
                </c:pt>
                <c:pt idx="7">
                  <c:v>3.7211905339474237E-2</c:v>
                </c:pt>
                <c:pt idx="8">
                  <c:v>3.705105309728856E-2</c:v>
                </c:pt>
                <c:pt idx="9">
                  <c:v>3.6251542796466932E-2</c:v>
                </c:pt>
                <c:pt idx="10">
                  <c:v>3.624679188636018E-2</c:v>
                </c:pt>
                <c:pt idx="11">
                  <c:v>3.6240004871921964E-2</c:v>
                </c:pt>
                <c:pt idx="12">
                  <c:v>3.6237290066146684E-2</c:v>
                </c:pt>
                <c:pt idx="13">
                  <c:v>3.6230503051708468E-2</c:v>
                </c:pt>
                <c:pt idx="14">
                  <c:v>3.621625032138822E-2</c:v>
                </c:pt>
                <c:pt idx="15">
                  <c:v>3.5264032195706771E-2</c:v>
                </c:pt>
                <c:pt idx="16">
                  <c:v>3.3854369296889689E-2</c:v>
                </c:pt>
                <c:pt idx="17">
                  <c:v>3.3695553159035482E-2</c:v>
                </c:pt>
                <c:pt idx="18">
                  <c:v>3.1956720059965013E-2</c:v>
                </c:pt>
                <c:pt idx="19">
                  <c:v>3.1082552600323027E-2</c:v>
                </c:pt>
                <c:pt idx="20">
                  <c:v>3.0233497094102432E-2</c:v>
                </c:pt>
                <c:pt idx="21">
                  <c:v>2.826729901135179E-2</c:v>
                </c:pt>
                <c:pt idx="22">
                  <c:v>2.1404270011429624E-2</c:v>
                </c:pt>
                <c:pt idx="23">
                  <c:v>2.1333685061272201E-2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48-4E18-89FA-5D1DBD3A0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96496"/>
        <c:axId val="1"/>
      </c:scatterChart>
      <c:valAx>
        <c:axId val="548396496"/>
        <c:scaling>
          <c:orientation val="minMax"/>
          <c:max val="50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42824775108246"/>
              <c:y val="0.861291677250021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4999999999999998E-2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77420032173397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9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94889741346433"/>
          <c:y val="0.91613038692744042"/>
          <c:w val="0.86495870067523606"/>
          <c:h val="6.45161290322580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DF Lyr - O-C Diagr.</a:t>
            </a:r>
          </a:p>
        </c:rich>
      </c:tx>
      <c:layout>
        <c:manualLayout>
          <c:xMode val="edge"/>
          <c:yMode val="edge"/>
          <c:x val="0.366606170598911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2032667876588"/>
          <c:y val="0.15434083601286175"/>
          <c:w val="0.79491833030852999"/>
          <c:h val="0.643086816720257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F-4781-A254-0B9AC9411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3">
                  <c:v>3.3296000001428183E-2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F-4781-A254-0B9AC9411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7">
                  <c:v>3.6068000001250766E-2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F-4781-A254-0B9AC9411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8">
                  <c:v>3.6399999997229315E-2</c:v>
                </c:pt>
                <c:pt idx="9">
                  <c:v>3.7507999993977137E-2</c:v>
                </c:pt>
                <c:pt idx="10">
                  <c:v>3.545999999914784E-2</c:v>
                </c:pt>
                <c:pt idx="11">
                  <c:v>3.5120000000461005E-2</c:v>
                </c:pt>
                <c:pt idx="12">
                  <c:v>3.436399999918649E-2</c:v>
                </c:pt>
                <c:pt idx="13">
                  <c:v>3.3624000003328547E-2</c:v>
                </c:pt>
                <c:pt idx="14">
                  <c:v>3.5179999998945277E-2</c:v>
                </c:pt>
                <c:pt idx="15">
                  <c:v>3.5288000100990757E-2</c:v>
                </c:pt>
                <c:pt idx="16">
                  <c:v>3.6959999997634441E-2</c:v>
                </c:pt>
                <c:pt idx="17">
                  <c:v>3.5583999997470528E-2</c:v>
                </c:pt>
                <c:pt idx="18">
                  <c:v>3.241600000183098E-2</c:v>
                </c:pt>
                <c:pt idx="19">
                  <c:v>3.428400000120746E-2</c:v>
                </c:pt>
                <c:pt idx="20">
                  <c:v>3.2420000003185123E-2</c:v>
                </c:pt>
                <c:pt idx="21">
                  <c:v>2.9712000003200956E-2</c:v>
                </c:pt>
                <c:pt idx="22">
                  <c:v>1.9544000140740536E-2</c:v>
                </c:pt>
                <c:pt idx="23">
                  <c:v>1.9288000170490704E-2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4F-4781-A254-0B9AC9411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1">
                  <c:v>3.0348000000230968E-2</c:v>
                </c:pt>
                <c:pt idx="2">
                  <c:v>2.972800000134157E-2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4F-4781-A254-0B9AC9411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4F-4781-A254-0B9AC9411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1.2E-4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5.9999999999999995E-4</c:v>
                  </c:pt>
                  <c:pt idx="19">
                    <c:v>3.0999999999999999E-3</c:v>
                  </c:pt>
                  <c:pt idx="20">
                    <c:v>1.4E-3</c:v>
                  </c:pt>
                  <c:pt idx="2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  <c:pt idx="4">
                  <c:v>3.0451999999058899E-2</c:v>
                </c:pt>
                <c:pt idx="5">
                  <c:v>3.3208000000740867E-2</c:v>
                </c:pt>
                <c:pt idx="6">
                  <c:v>3.8392000002204441E-2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4F-4781-A254-0B9AC9411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34446.5</c:v>
                </c:pt>
                <c:pt idx="2">
                  <c:v>35174</c:v>
                </c:pt>
                <c:pt idx="3">
                  <c:v>39568</c:v>
                </c:pt>
                <c:pt idx="4">
                  <c:v>42078.5</c:v>
                </c:pt>
                <c:pt idx="5">
                  <c:v>42139</c:v>
                </c:pt>
                <c:pt idx="6">
                  <c:v>42648.5</c:v>
                </c:pt>
                <c:pt idx="7">
                  <c:v>43844</c:v>
                </c:pt>
                <c:pt idx="8">
                  <c:v>43962.5</c:v>
                </c:pt>
                <c:pt idx="9">
                  <c:v>44551.5</c:v>
                </c:pt>
                <c:pt idx="10">
                  <c:v>44555</c:v>
                </c:pt>
                <c:pt idx="11">
                  <c:v>44560</c:v>
                </c:pt>
                <c:pt idx="12">
                  <c:v>44562</c:v>
                </c:pt>
                <c:pt idx="13">
                  <c:v>44567</c:v>
                </c:pt>
                <c:pt idx="14">
                  <c:v>44577.5</c:v>
                </c:pt>
                <c:pt idx="15">
                  <c:v>45279</c:v>
                </c:pt>
                <c:pt idx="16">
                  <c:v>46317.5</c:v>
                </c:pt>
                <c:pt idx="17">
                  <c:v>46434.5</c:v>
                </c:pt>
                <c:pt idx="18">
                  <c:v>47715.5</c:v>
                </c:pt>
                <c:pt idx="19">
                  <c:v>48359.5</c:v>
                </c:pt>
                <c:pt idx="20">
                  <c:v>48985</c:v>
                </c:pt>
                <c:pt idx="21">
                  <c:v>50433.5</c:v>
                </c:pt>
                <c:pt idx="22">
                  <c:v>55489.5</c:v>
                </c:pt>
                <c:pt idx="23">
                  <c:v>55541.5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9.6725877545286582E-2</c:v>
                </c:pt>
                <c:pt idx="1">
                  <c:v>4.9968098976097754E-2</c:v>
                </c:pt>
                <c:pt idx="2">
                  <c:v>4.8980588375337593E-2</c:v>
                </c:pt>
                <c:pt idx="3">
                  <c:v>4.3016160087034988E-2</c:v>
                </c:pt>
                <c:pt idx="4">
                  <c:v>3.9608400137607656E-2</c:v>
                </c:pt>
                <c:pt idx="5">
                  <c:v>3.9526277262905266E-2</c:v>
                </c:pt>
                <c:pt idx="6">
                  <c:v>3.8834680491651244E-2</c:v>
                </c:pt>
                <c:pt idx="7">
                  <c:v>3.7211905339474237E-2</c:v>
                </c:pt>
                <c:pt idx="8">
                  <c:v>3.705105309728856E-2</c:v>
                </c:pt>
                <c:pt idx="9">
                  <c:v>3.6251542796466932E-2</c:v>
                </c:pt>
                <c:pt idx="10">
                  <c:v>3.624679188636018E-2</c:v>
                </c:pt>
                <c:pt idx="11">
                  <c:v>3.6240004871921964E-2</c:v>
                </c:pt>
                <c:pt idx="12">
                  <c:v>3.6237290066146684E-2</c:v>
                </c:pt>
                <c:pt idx="13">
                  <c:v>3.6230503051708468E-2</c:v>
                </c:pt>
                <c:pt idx="14">
                  <c:v>3.621625032138822E-2</c:v>
                </c:pt>
                <c:pt idx="15">
                  <c:v>3.5264032195706771E-2</c:v>
                </c:pt>
                <c:pt idx="16">
                  <c:v>3.3854369296889689E-2</c:v>
                </c:pt>
                <c:pt idx="17">
                  <c:v>3.3695553159035482E-2</c:v>
                </c:pt>
                <c:pt idx="18">
                  <c:v>3.1956720059965013E-2</c:v>
                </c:pt>
                <c:pt idx="19">
                  <c:v>3.1082552600323027E-2</c:v>
                </c:pt>
                <c:pt idx="20">
                  <c:v>3.0233497094102432E-2</c:v>
                </c:pt>
                <c:pt idx="21">
                  <c:v>2.826729901135179E-2</c:v>
                </c:pt>
                <c:pt idx="22">
                  <c:v>2.1404270011429624E-2</c:v>
                </c:pt>
                <c:pt idx="23">
                  <c:v>2.1333685061272201E-2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4F-4781-A254-0B9AC941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89296"/>
        <c:axId val="1"/>
      </c:scatterChart>
      <c:valAx>
        <c:axId val="54838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627949183303082"/>
              <c:y val="0.8617363344051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46460980036297E-2"/>
              <c:y val="0.37942122186495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8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41016333938294E-2"/>
          <c:y val="0.91639871382636651"/>
          <c:w val="0.91833030852994546"/>
          <c:h val="6.43086816720257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57150</xdr:rowOff>
    </xdr:from>
    <xdr:to>
      <xdr:col>17</xdr:col>
      <xdr:colOff>180975</xdr:colOff>
      <xdr:row>17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ADE9EB4-F8CF-08CA-C057-330ADA0D6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314325</xdr:colOff>
      <xdr:row>0</xdr:row>
      <xdr:rowOff>0</xdr:rowOff>
    </xdr:from>
    <xdr:to>
      <xdr:col>27</xdr:col>
      <xdr:colOff>38100</xdr:colOff>
      <xdr:row>18</xdr:row>
      <xdr:rowOff>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D3D4C9F-3F8A-1DDB-91E2-A0524D251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10" TargetMode="External"/><Relationship Id="rId13" Type="http://schemas.openxmlformats.org/officeDocument/2006/relationships/hyperlink" Target="http://www.bav-astro.de/sfs/BAVM_link.php?BAVMnr=201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www.konkoly.hu/cgi-bin/IBVS?5710" TargetMode="External"/><Relationship Id="rId12" Type="http://schemas.openxmlformats.org/officeDocument/2006/relationships/hyperlink" Target="http://www.konkoly.hu/cgi-bin/IBVS?5875" TargetMode="External"/><Relationship Id="rId1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5710" TargetMode="External"/><Relationship Id="rId16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5710" TargetMode="External"/><Relationship Id="rId6" Type="http://schemas.openxmlformats.org/officeDocument/2006/relationships/hyperlink" Target="http://www.konkoly.hu/cgi-bin/IBVS?5710" TargetMode="External"/><Relationship Id="rId11" Type="http://schemas.openxmlformats.org/officeDocument/2006/relationships/hyperlink" Target="http://www.konkoly.hu/cgi-bin/IBVS?5806" TargetMode="External"/><Relationship Id="rId5" Type="http://schemas.openxmlformats.org/officeDocument/2006/relationships/hyperlink" Target="http://www.konkoly.hu/cgi-bin/IBVS?5710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710" TargetMode="External"/><Relationship Id="rId4" Type="http://schemas.openxmlformats.org/officeDocument/2006/relationships/hyperlink" Target="http://www.konkoly.hu/cgi-bin/IBVS?5602" TargetMode="External"/><Relationship Id="rId9" Type="http://schemas.openxmlformats.org/officeDocument/2006/relationships/hyperlink" Target="http://www.konkoly.hu/cgi-bin/IBVS?5710" TargetMode="External"/><Relationship Id="rId1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D6" sqref="D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14" t="s">
        <v>35</v>
      </c>
    </row>
    <row r="4" spans="1:7" x14ac:dyDescent="0.2">
      <c r="A4" s="7" t="s">
        <v>0</v>
      </c>
      <c r="C4" s="3">
        <v>27801.84</v>
      </c>
      <c r="D4" s="4">
        <v>0.57712799999999997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27801.84</v>
      </c>
    </row>
    <row r="8" spans="1:7" x14ac:dyDescent="0.2">
      <c r="A8" t="s">
        <v>3</v>
      </c>
      <c r="C8">
        <f>+D4</f>
        <v>0.57712799999999997</v>
      </c>
    </row>
    <row r="9" spans="1:7" x14ac:dyDescent="0.2">
      <c r="A9" s="21" t="s">
        <v>41</v>
      </c>
      <c r="B9" s="16"/>
      <c r="C9" s="22">
        <v>-9.5</v>
      </c>
      <c r="D9" s="16" t="s">
        <v>42</v>
      </c>
      <c r="E9" s="16"/>
    </row>
    <row r="10" spans="1:7" ht="13.5" thickBot="1" x14ac:dyDescent="0.25">
      <c r="A10" s="16"/>
      <c r="B10" s="16"/>
      <c r="C10" s="6" t="s">
        <v>20</v>
      </c>
      <c r="D10" s="6" t="s">
        <v>21</v>
      </c>
      <c r="E10" s="16"/>
    </row>
    <row r="11" spans="1:7" x14ac:dyDescent="0.2">
      <c r="A11" s="16" t="s">
        <v>16</v>
      </c>
      <c r="B11" s="16"/>
      <c r="C11" s="33">
        <f ca="1">INTERCEPT(INDIRECT($G$11):G990,INDIRECT($F$11):F990)</f>
        <v>9.6725877545286582E-2</v>
      </c>
      <c r="D11" s="5"/>
      <c r="E11" s="16"/>
      <c r="F11" s="34" t="str">
        <f>"F"&amp;E19</f>
        <v>F27</v>
      </c>
      <c r="G11" s="35" t="str">
        <f>"G"&amp;E19</f>
        <v>G27</v>
      </c>
    </row>
    <row r="12" spans="1:7" x14ac:dyDescent="0.2">
      <c r="A12" s="16" t="s">
        <v>17</v>
      </c>
      <c r="B12" s="16"/>
      <c r="C12" s="33">
        <f ca="1">SLOPE(INDIRECT($G$11):G990,INDIRECT($F$11):F990)</f>
        <v>-1.3574028876428325E-6</v>
      </c>
      <c r="D12" s="5"/>
      <c r="E12" s="16"/>
    </row>
    <row r="13" spans="1:7" x14ac:dyDescent="0.2">
      <c r="A13" s="16" t="s">
        <v>19</v>
      </c>
      <c r="B13" s="16"/>
      <c r="C13" s="5" t="s">
        <v>14</v>
      </c>
      <c r="D13" s="25" t="s">
        <v>52</v>
      </c>
      <c r="E13" s="22">
        <v>1</v>
      </c>
    </row>
    <row r="14" spans="1:7" x14ac:dyDescent="0.2">
      <c r="A14" s="16"/>
      <c r="B14" s="16"/>
      <c r="C14" s="16"/>
      <c r="D14" s="25" t="s">
        <v>43</v>
      </c>
      <c r="E14" s="26">
        <f ca="1">NOW()+15018.5+$C$9/24</f>
        <v>60359.603577199072</v>
      </c>
    </row>
    <row r="15" spans="1:7" x14ac:dyDescent="0.2">
      <c r="A15" s="23" t="s">
        <v>18</v>
      </c>
      <c r="B15" s="16"/>
      <c r="C15" s="24">
        <f ca="1">(C7+C11)+(C8+C12)*INT(MAX(F21:F3531))</f>
        <v>59856.127582363762</v>
      </c>
      <c r="D15" s="25" t="s">
        <v>53</v>
      </c>
      <c r="E15" s="26">
        <f ca="1">ROUND(2*(E14-$C$7)/$C$8,0)/2+E13</f>
        <v>56414.5</v>
      </c>
    </row>
    <row r="16" spans="1:7" x14ac:dyDescent="0.2">
      <c r="A16" s="27" t="s">
        <v>4</v>
      </c>
      <c r="B16" s="16"/>
      <c r="C16" s="28">
        <f ca="1">+C8+C12</f>
        <v>0.57712664259711233</v>
      </c>
      <c r="D16" s="25" t="s">
        <v>44</v>
      </c>
      <c r="E16" s="35">
        <f ca="1">ROUND(2*(E14-$C$15)/$C$16,0)/2+E13</f>
        <v>873.5</v>
      </c>
    </row>
    <row r="17" spans="1:31" ht="13.5" thickBot="1" x14ac:dyDescent="0.25">
      <c r="A17" s="25" t="s">
        <v>37</v>
      </c>
      <c r="B17" s="16"/>
      <c r="C17" s="16">
        <f>COUNT(C21:C2189)</f>
        <v>24</v>
      </c>
      <c r="D17" s="25" t="s">
        <v>45</v>
      </c>
      <c r="E17" s="29">
        <f ca="1">+$C$15+$C$16*E16-15018.5-$C$9/24</f>
        <v>45342.143538005679</v>
      </c>
    </row>
    <row r="18" spans="1:31" x14ac:dyDescent="0.2">
      <c r="A18" s="27" t="s">
        <v>5</v>
      </c>
      <c r="B18" s="16"/>
      <c r="C18" s="30">
        <f ca="1">+C15</f>
        <v>59856.127582363762</v>
      </c>
      <c r="D18" s="31">
        <f ca="1">+C16</f>
        <v>0.57712664259711233</v>
      </c>
      <c r="E18" s="32" t="s">
        <v>46</v>
      </c>
    </row>
    <row r="19" spans="1:31" ht="13.5" thickTop="1" x14ac:dyDescent="0.2">
      <c r="A19" s="36" t="s">
        <v>50</v>
      </c>
      <c r="E19" s="37">
        <v>27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26</v>
      </c>
      <c r="J20" s="9" t="s">
        <v>30</v>
      </c>
      <c r="K20" s="9" t="s">
        <v>59</v>
      </c>
      <c r="L20" s="9" t="s">
        <v>159</v>
      </c>
      <c r="M20" s="9" t="s">
        <v>161</v>
      </c>
      <c r="N20" s="9" t="s">
        <v>25</v>
      </c>
      <c r="O20" s="9" t="s">
        <v>23</v>
      </c>
      <c r="P20" s="8" t="s">
        <v>22</v>
      </c>
      <c r="Q20" s="6" t="s">
        <v>15</v>
      </c>
    </row>
    <row r="21" spans="1:31" x14ac:dyDescent="0.2">
      <c r="A21" t="s">
        <v>12</v>
      </c>
      <c r="C21" s="18">
        <v>27801.84</v>
      </c>
      <c r="D21" s="18" t="s">
        <v>14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+C$11+C$12*F21</f>
        <v>9.6725877545286582E-2</v>
      </c>
      <c r="Q21" s="2">
        <f t="shared" ref="Q21:Q28" si="4">+C21-15018.5</f>
        <v>12783.34</v>
      </c>
    </row>
    <row r="22" spans="1:31" x14ac:dyDescent="0.2">
      <c r="A22" s="15" t="s">
        <v>38</v>
      </c>
      <c r="B22" s="5" t="s">
        <v>39</v>
      </c>
      <c r="C22" s="18">
        <v>47681.91</v>
      </c>
      <c r="D22" s="19">
        <v>0.01</v>
      </c>
      <c r="E22">
        <f t="shared" si="0"/>
        <v>34446.552584521982</v>
      </c>
      <c r="F22">
        <f t="shared" si="1"/>
        <v>34446.5</v>
      </c>
      <c r="G22">
        <f t="shared" si="2"/>
        <v>3.0348000000230968E-2</v>
      </c>
      <c r="L22">
        <f>+G22</f>
        <v>3.0348000000230968E-2</v>
      </c>
      <c r="O22">
        <f t="shared" ca="1" si="3"/>
        <v>4.9968098976097754E-2</v>
      </c>
      <c r="Q22" s="2">
        <f t="shared" si="4"/>
        <v>32663.410000000003</v>
      </c>
    </row>
    <row r="23" spans="1:31" x14ac:dyDescent="0.2">
      <c r="A23" s="15" t="s">
        <v>38</v>
      </c>
      <c r="B23" s="5" t="s">
        <v>34</v>
      </c>
      <c r="C23" s="18">
        <v>48101.77</v>
      </c>
      <c r="D23" s="19">
        <v>0.01</v>
      </c>
      <c r="E23">
        <f t="shared" si="0"/>
        <v>35174.051510236895</v>
      </c>
      <c r="F23">
        <f t="shared" si="1"/>
        <v>35174</v>
      </c>
      <c r="G23">
        <f t="shared" si="2"/>
        <v>2.972800000134157E-2</v>
      </c>
      <c r="L23">
        <f>+G23</f>
        <v>2.972800000134157E-2</v>
      </c>
      <c r="O23">
        <f t="shared" ca="1" si="3"/>
        <v>4.8980588375337593E-2</v>
      </c>
      <c r="Q23" s="2">
        <f t="shared" si="4"/>
        <v>33083.269999999997</v>
      </c>
    </row>
    <row r="24" spans="1:31" x14ac:dyDescent="0.2">
      <c r="A24" t="s">
        <v>28</v>
      </c>
      <c r="C24" s="18">
        <v>50637.673999999999</v>
      </c>
      <c r="D24" s="18">
        <v>5.0000000000000001E-3</v>
      </c>
      <c r="E24">
        <f t="shared" si="0"/>
        <v>39568.057692574264</v>
      </c>
      <c r="F24">
        <f t="shared" si="1"/>
        <v>39568</v>
      </c>
      <c r="G24">
        <f t="shared" si="2"/>
        <v>3.3296000001428183E-2</v>
      </c>
      <c r="I24">
        <f>+G24</f>
        <v>3.3296000001428183E-2</v>
      </c>
      <c r="O24">
        <f t="shared" ca="1" si="3"/>
        <v>4.3016160087034988E-2</v>
      </c>
      <c r="Q24" s="2">
        <f t="shared" si="4"/>
        <v>35619.173999999999</v>
      </c>
      <c r="AA24">
        <v>18</v>
      </c>
      <c r="AC24" t="s">
        <v>27</v>
      </c>
      <c r="AE24" t="s">
        <v>29</v>
      </c>
    </row>
    <row r="25" spans="1:31" x14ac:dyDescent="0.2">
      <c r="A25" s="10" t="s">
        <v>31</v>
      </c>
      <c r="C25" s="20">
        <v>52086.550999999999</v>
      </c>
      <c r="D25" s="18"/>
      <c r="E25">
        <f t="shared" si="0"/>
        <v>42078.552764724634</v>
      </c>
      <c r="F25">
        <f t="shared" si="1"/>
        <v>42078.5</v>
      </c>
      <c r="G25">
        <f t="shared" si="2"/>
        <v>3.0451999999058899E-2</v>
      </c>
      <c r="N25">
        <f>G25</f>
        <v>3.0451999999058899E-2</v>
      </c>
      <c r="O25">
        <f t="shared" ca="1" si="3"/>
        <v>3.9608400137607656E-2</v>
      </c>
      <c r="Q25" s="2">
        <f t="shared" si="4"/>
        <v>37068.050999999999</v>
      </c>
    </row>
    <row r="26" spans="1:31" x14ac:dyDescent="0.2">
      <c r="A26" t="s">
        <v>31</v>
      </c>
      <c r="C26" s="20">
        <v>52121.47</v>
      </c>
      <c r="D26" s="18"/>
      <c r="E26">
        <f t="shared" si="0"/>
        <v>42139.057540095098</v>
      </c>
      <c r="F26">
        <f t="shared" si="1"/>
        <v>42139</v>
      </c>
      <c r="G26">
        <f t="shared" si="2"/>
        <v>3.3208000000740867E-2</v>
      </c>
      <c r="N26">
        <f>G26</f>
        <v>3.3208000000740867E-2</v>
      </c>
      <c r="O26">
        <f t="shared" ca="1" si="3"/>
        <v>3.9526277262905266E-2</v>
      </c>
      <c r="Q26" s="2">
        <f t="shared" si="4"/>
        <v>37102.97</v>
      </c>
    </row>
    <row r="27" spans="1:31" x14ac:dyDescent="0.2">
      <c r="A27" s="11" t="s">
        <v>32</v>
      </c>
      <c r="C27" s="20">
        <v>52415.5219</v>
      </c>
      <c r="D27" s="18"/>
      <c r="E27">
        <f t="shared" si="0"/>
        <v>42648.566522504538</v>
      </c>
      <c r="F27">
        <f t="shared" si="1"/>
        <v>42648.5</v>
      </c>
      <c r="G27">
        <f t="shared" si="2"/>
        <v>3.8392000002204441E-2</v>
      </c>
      <c r="N27">
        <f>G27</f>
        <v>3.8392000002204441E-2</v>
      </c>
      <c r="O27">
        <f t="shared" ca="1" si="3"/>
        <v>3.8834680491651244E-2</v>
      </c>
      <c r="Q27" s="2">
        <f t="shared" si="4"/>
        <v>37397.0219</v>
      </c>
    </row>
    <row r="28" spans="1:31" x14ac:dyDescent="0.2">
      <c r="A28" s="12" t="s">
        <v>33</v>
      </c>
      <c r="B28" s="13" t="s">
        <v>34</v>
      </c>
      <c r="C28" s="17">
        <v>53105.4761</v>
      </c>
      <c r="D28" s="17">
        <v>5.9999999999999995E-4</v>
      </c>
      <c r="E28">
        <f t="shared" si="0"/>
        <v>43844.062495668208</v>
      </c>
      <c r="F28">
        <f t="shared" si="1"/>
        <v>43844</v>
      </c>
      <c r="G28">
        <f t="shared" si="2"/>
        <v>3.6068000001250766E-2</v>
      </c>
      <c r="J28">
        <f>+G28</f>
        <v>3.6068000001250766E-2</v>
      </c>
      <c r="O28">
        <f t="shared" ca="1" si="3"/>
        <v>3.7211905339474237E-2</v>
      </c>
      <c r="Q28" s="2">
        <f t="shared" si="4"/>
        <v>38086.9761</v>
      </c>
    </row>
    <row r="29" spans="1:31" x14ac:dyDescent="0.2">
      <c r="A29" s="7" t="s">
        <v>36</v>
      </c>
      <c r="C29" s="18">
        <v>53173.866099999999</v>
      </c>
      <c r="D29" s="18">
        <v>1E-4</v>
      </c>
      <c r="E29">
        <f t="shared" ref="E29:E40" si="5">+(C29-C$7)/C$8</f>
        <v>43962.563070930541</v>
      </c>
      <c r="F29">
        <f t="shared" ref="F29:F42" si="6">ROUND(2*E29,0)/2</f>
        <v>43962.5</v>
      </c>
      <c r="G29">
        <f t="shared" ref="G29:G40" si="7">+C29-(C$7+F29*C$8)</f>
        <v>3.6399999997229315E-2</v>
      </c>
      <c r="K29">
        <f>+G29</f>
        <v>3.6399999997229315E-2</v>
      </c>
      <c r="O29">
        <f t="shared" ref="O29:O40" ca="1" si="8">+C$11+C$12*F29</f>
        <v>3.705105309728856E-2</v>
      </c>
      <c r="Q29" s="2">
        <f t="shared" ref="Q29:Q40" si="9">+C29-15018.5</f>
        <v>38155.366099999999</v>
      </c>
      <c r="AC29" s="66" t="s">
        <v>160</v>
      </c>
    </row>
    <row r="30" spans="1:31" x14ac:dyDescent="0.2">
      <c r="A30" s="15" t="s">
        <v>38</v>
      </c>
      <c r="B30" s="5" t="s">
        <v>39</v>
      </c>
      <c r="C30" s="18">
        <v>53513.795599999998</v>
      </c>
      <c r="D30" s="19">
        <v>2.0000000000000001E-4</v>
      </c>
      <c r="E30">
        <f t="shared" si="5"/>
        <v>44551.564990781939</v>
      </c>
      <c r="F30">
        <f t="shared" si="6"/>
        <v>44551.5</v>
      </c>
      <c r="G30">
        <f t="shared" si="7"/>
        <v>3.7507999993977137E-2</v>
      </c>
      <c r="K30">
        <f>+G30</f>
        <v>3.7507999993977137E-2</v>
      </c>
      <c r="O30">
        <f t="shared" ca="1" si="8"/>
        <v>3.6251542796466932E-2</v>
      </c>
      <c r="Q30" s="2">
        <f t="shared" si="9"/>
        <v>38495.295599999998</v>
      </c>
    </row>
    <row r="31" spans="1:31" x14ac:dyDescent="0.2">
      <c r="A31" s="15" t="s">
        <v>38</v>
      </c>
      <c r="B31" s="5" t="s">
        <v>34</v>
      </c>
      <c r="C31" s="18">
        <v>53515.813499999997</v>
      </c>
      <c r="D31" s="19">
        <v>2.0000000000000001E-4</v>
      </c>
      <c r="E31">
        <f t="shared" si="5"/>
        <v>44555.061442175735</v>
      </c>
      <c r="F31">
        <f t="shared" si="6"/>
        <v>44555</v>
      </c>
      <c r="G31">
        <f t="shared" si="7"/>
        <v>3.545999999914784E-2</v>
      </c>
      <c r="K31">
        <f>+G31</f>
        <v>3.545999999914784E-2</v>
      </c>
      <c r="O31">
        <f t="shared" ca="1" si="8"/>
        <v>3.624679188636018E-2</v>
      </c>
      <c r="Q31" s="2">
        <f t="shared" si="9"/>
        <v>38497.313499999997</v>
      </c>
    </row>
    <row r="32" spans="1:31" x14ac:dyDescent="0.2">
      <c r="A32" s="15" t="s">
        <v>38</v>
      </c>
      <c r="B32" s="5" t="s">
        <v>34</v>
      </c>
      <c r="C32" s="18">
        <v>53518.698799999998</v>
      </c>
      <c r="D32" s="19">
        <v>1.2E-4</v>
      </c>
      <c r="E32">
        <f t="shared" si="5"/>
        <v>44560.060853051662</v>
      </c>
      <c r="F32">
        <f t="shared" si="6"/>
        <v>44560</v>
      </c>
      <c r="G32">
        <f t="shared" si="7"/>
        <v>3.5120000000461005E-2</v>
      </c>
      <c r="K32">
        <f>+G32</f>
        <v>3.5120000000461005E-2</v>
      </c>
      <c r="O32">
        <f t="shared" ca="1" si="8"/>
        <v>3.6240004871921964E-2</v>
      </c>
      <c r="Q32" s="2">
        <f t="shared" si="9"/>
        <v>38500.198799999998</v>
      </c>
    </row>
    <row r="33" spans="1:29" x14ac:dyDescent="0.2">
      <c r="A33" s="15" t="s">
        <v>38</v>
      </c>
      <c r="B33" s="5" t="s">
        <v>34</v>
      </c>
      <c r="C33" s="18">
        <v>53519.852299999999</v>
      </c>
      <c r="D33" s="19">
        <v>4.0000000000000002E-4</v>
      </c>
      <c r="E33">
        <f t="shared" si="5"/>
        <v>44562.059543116949</v>
      </c>
      <c r="F33">
        <f t="shared" si="6"/>
        <v>44562</v>
      </c>
      <c r="G33">
        <f t="shared" si="7"/>
        <v>3.436399999918649E-2</v>
      </c>
      <c r="K33">
        <f>+G33</f>
        <v>3.436399999918649E-2</v>
      </c>
      <c r="O33">
        <f t="shared" ca="1" si="8"/>
        <v>3.6237290066146684E-2</v>
      </c>
      <c r="Q33" s="2">
        <f t="shared" si="9"/>
        <v>38501.352299999999</v>
      </c>
    </row>
    <row r="34" spans="1:29" x14ac:dyDescent="0.2">
      <c r="A34" s="38" t="s">
        <v>38</v>
      </c>
      <c r="B34" s="39" t="s">
        <v>34</v>
      </c>
      <c r="C34" s="38">
        <v>53522.737200000003</v>
      </c>
      <c r="D34" s="40">
        <v>2.9999999999999997E-4</v>
      </c>
      <c r="E34">
        <f t="shared" si="5"/>
        <v>44567.058260905731</v>
      </c>
      <c r="F34">
        <f t="shared" si="6"/>
        <v>44567</v>
      </c>
      <c r="G34">
        <f t="shared" si="7"/>
        <v>3.3624000003328547E-2</v>
      </c>
      <c r="K34">
        <f>+G34</f>
        <v>3.3624000003328547E-2</v>
      </c>
      <c r="O34">
        <f t="shared" ca="1" si="8"/>
        <v>3.6230503051708468E-2</v>
      </c>
      <c r="Q34" s="2">
        <f t="shared" si="9"/>
        <v>38504.237200000003</v>
      </c>
    </row>
    <row r="35" spans="1:29" x14ac:dyDescent="0.2">
      <c r="A35" s="38" t="s">
        <v>38</v>
      </c>
      <c r="B35" s="39" t="s">
        <v>39</v>
      </c>
      <c r="C35" s="38">
        <v>53528.798600000002</v>
      </c>
      <c r="D35" s="40">
        <v>2.9999999999999997E-4</v>
      </c>
      <c r="E35">
        <f t="shared" si="5"/>
        <v>44577.560957014743</v>
      </c>
      <c r="F35">
        <f t="shared" si="6"/>
        <v>44577.5</v>
      </c>
      <c r="G35">
        <f t="shared" si="7"/>
        <v>3.5179999998945277E-2</v>
      </c>
      <c r="K35">
        <f>+G35</f>
        <v>3.5179999998945277E-2</v>
      </c>
      <c r="O35">
        <f t="shared" ca="1" si="8"/>
        <v>3.621625032138822E-2</v>
      </c>
      <c r="Q35" s="2">
        <f t="shared" si="9"/>
        <v>38510.298600000002</v>
      </c>
    </row>
    <row r="36" spans="1:29" x14ac:dyDescent="0.2">
      <c r="A36" s="43" t="s">
        <v>47</v>
      </c>
      <c r="B36" s="44" t="s">
        <v>34</v>
      </c>
      <c r="C36" s="43">
        <v>53933.654000000097</v>
      </c>
      <c r="D36" s="43">
        <v>2.0000000000000001E-4</v>
      </c>
      <c r="E36">
        <f t="shared" si="5"/>
        <v>45279.061144148436</v>
      </c>
      <c r="F36">
        <f t="shared" si="6"/>
        <v>45279</v>
      </c>
      <c r="G36">
        <f t="shared" si="7"/>
        <v>3.5288000100990757E-2</v>
      </c>
      <c r="K36">
        <f>+G36</f>
        <v>3.5288000100990757E-2</v>
      </c>
      <c r="O36">
        <f t="shared" ca="1" si="8"/>
        <v>3.5264032195706771E-2</v>
      </c>
      <c r="Q36" s="2">
        <f t="shared" si="9"/>
        <v>38915.154000000097</v>
      </c>
    </row>
    <row r="37" spans="1:29" x14ac:dyDescent="0.2">
      <c r="A37" s="41" t="s">
        <v>48</v>
      </c>
      <c r="B37" s="42"/>
      <c r="C37" s="38">
        <v>54533.003100000002</v>
      </c>
      <c r="D37" s="40">
        <v>4.0000000000000002E-4</v>
      </c>
      <c r="E37">
        <f t="shared" si="5"/>
        <v>46317.564041252554</v>
      </c>
      <c r="F37">
        <f t="shared" si="6"/>
        <v>46317.5</v>
      </c>
      <c r="G37">
        <f t="shared" si="7"/>
        <v>3.6959999997634441E-2</v>
      </c>
      <c r="K37">
        <f>+G37</f>
        <v>3.6959999997634441E-2</v>
      </c>
      <c r="O37">
        <f t="shared" ca="1" si="8"/>
        <v>3.3854369296889689E-2</v>
      </c>
      <c r="Q37" s="2">
        <f t="shared" si="9"/>
        <v>39514.503100000002</v>
      </c>
      <c r="AC37" s="66" t="s">
        <v>160</v>
      </c>
    </row>
    <row r="38" spans="1:29" x14ac:dyDescent="0.2">
      <c r="A38" s="38" t="s">
        <v>49</v>
      </c>
      <c r="B38" s="39" t="s">
        <v>39</v>
      </c>
      <c r="C38" s="38">
        <v>54600.525699999998</v>
      </c>
      <c r="D38" s="38">
        <v>5.0000000000000001E-4</v>
      </c>
      <c r="E38">
        <f t="shared" si="5"/>
        <v>46434.561657032755</v>
      </c>
      <c r="F38">
        <f t="shared" si="6"/>
        <v>46434.5</v>
      </c>
      <c r="G38">
        <f t="shared" si="7"/>
        <v>3.5583999997470528E-2</v>
      </c>
      <c r="K38">
        <f>+G38</f>
        <v>3.5583999997470528E-2</v>
      </c>
      <c r="O38">
        <f t="shared" ca="1" si="8"/>
        <v>3.3695553159035482E-2</v>
      </c>
      <c r="Q38" s="2">
        <f t="shared" si="9"/>
        <v>39582.025699999998</v>
      </c>
    </row>
    <row r="39" spans="1:29" x14ac:dyDescent="0.2">
      <c r="A39" s="43" t="s">
        <v>51</v>
      </c>
      <c r="B39" s="44" t="s">
        <v>39</v>
      </c>
      <c r="C39" s="43">
        <v>55339.823499999999</v>
      </c>
      <c r="D39" s="43">
        <v>5.9999999999999995E-4</v>
      </c>
      <c r="E39">
        <f t="shared" si="5"/>
        <v>47715.556167782539</v>
      </c>
      <c r="F39">
        <f t="shared" si="6"/>
        <v>47715.5</v>
      </c>
      <c r="G39">
        <f t="shared" si="7"/>
        <v>3.241600000183098E-2</v>
      </c>
      <c r="K39">
        <f>+G39</f>
        <v>3.241600000183098E-2</v>
      </c>
      <c r="O39">
        <f t="shared" ca="1" si="8"/>
        <v>3.1956720059965013E-2</v>
      </c>
      <c r="Q39" s="2">
        <f t="shared" si="9"/>
        <v>40321.323499999999</v>
      </c>
    </row>
    <row r="40" spans="1:29" x14ac:dyDescent="0.2">
      <c r="A40" s="43" t="s">
        <v>54</v>
      </c>
      <c r="B40" s="44" t="s">
        <v>39</v>
      </c>
      <c r="C40" s="43">
        <v>55711.495799999997</v>
      </c>
      <c r="D40" s="43">
        <v>3.0999999999999999E-3</v>
      </c>
      <c r="E40">
        <f t="shared" si="5"/>
        <v>48359.559404499516</v>
      </c>
      <c r="F40">
        <f t="shared" si="6"/>
        <v>48359.5</v>
      </c>
      <c r="G40">
        <f t="shared" si="7"/>
        <v>3.428400000120746E-2</v>
      </c>
      <c r="K40">
        <f>+G40</f>
        <v>3.428400000120746E-2</v>
      </c>
      <c r="O40">
        <f t="shared" ca="1" si="8"/>
        <v>3.1082552600323027E-2</v>
      </c>
      <c r="Q40" s="2">
        <f t="shared" si="9"/>
        <v>40692.995799999997</v>
      </c>
    </row>
    <row r="41" spans="1:29" x14ac:dyDescent="0.2">
      <c r="A41" s="45" t="s">
        <v>55</v>
      </c>
      <c r="B41" s="46" t="s">
        <v>34</v>
      </c>
      <c r="C41" s="47">
        <v>56072.487500000003</v>
      </c>
      <c r="D41" s="47">
        <v>1.4E-3</v>
      </c>
      <c r="E41">
        <f>+(C41-C$7)/C$8</f>
        <v>48985.056174713412</v>
      </c>
      <c r="F41">
        <f t="shared" si="6"/>
        <v>48985</v>
      </c>
      <c r="G41">
        <f>+C41-(C$7+F41*C$8)</f>
        <v>3.2420000003185123E-2</v>
      </c>
      <c r="K41">
        <f>+G41</f>
        <v>3.2420000003185123E-2</v>
      </c>
      <c r="O41">
        <f ca="1">+C$11+C$12*F41</f>
        <v>3.0233497094102432E-2</v>
      </c>
      <c r="Q41" s="2">
        <f>+C41-15018.5</f>
        <v>41053.987500000003</v>
      </c>
    </row>
    <row r="42" spans="1:29" x14ac:dyDescent="0.2">
      <c r="A42" s="48" t="s">
        <v>56</v>
      </c>
      <c r="B42" s="49"/>
      <c r="C42" s="48">
        <v>56908.454700000002</v>
      </c>
      <c r="D42" s="48">
        <v>4.5999999999999999E-3</v>
      </c>
      <c r="E42">
        <f>+(C42-C$7)/C$8</f>
        <v>50433.551482513416</v>
      </c>
      <c r="F42">
        <f t="shared" si="6"/>
        <v>50433.5</v>
      </c>
      <c r="G42">
        <f>+C42-(C$7+F42*C$8)</f>
        <v>2.9712000003200956E-2</v>
      </c>
      <c r="K42">
        <f>+G42</f>
        <v>2.9712000003200956E-2</v>
      </c>
      <c r="O42">
        <f ca="1">+C$11+C$12*F42</f>
        <v>2.826729901135179E-2</v>
      </c>
      <c r="Q42" s="2">
        <f>+C42-15018.5</f>
        <v>41889.954700000002</v>
      </c>
    </row>
    <row r="43" spans="1:29" x14ac:dyDescent="0.2">
      <c r="A43" s="63" t="s">
        <v>158</v>
      </c>
      <c r="B43" s="64" t="s">
        <v>39</v>
      </c>
      <c r="C43" s="65">
        <v>59826.403700000141</v>
      </c>
      <c r="D43" s="18"/>
      <c r="E43">
        <f t="shared" ref="E43:E44" si="10">+(C43-C$7)/C$8</f>
        <v>55489.533864238336</v>
      </c>
      <c r="F43">
        <f t="shared" ref="F43:F44" si="11">ROUND(2*E43,0)/2</f>
        <v>55489.5</v>
      </c>
      <c r="G43">
        <f t="shared" ref="G43:G44" si="12">+C43-(C$7+F43*C$8)</f>
        <v>1.9544000140740536E-2</v>
      </c>
      <c r="K43">
        <f>+G43</f>
        <v>1.9544000140740536E-2</v>
      </c>
      <c r="O43">
        <f t="shared" ref="O43:O44" ca="1" si="13">+C$11+C$12*F43</f>
        <v>2.1404270011429624E-2</v>
      </c>
      <c r="Q43" s="2">
        <f t="shared" ref="Q43:Q44" si="14">+C43-15018.5</f>
        <v>44807.903700000141</v>
      </c>
      <c r="R43" s="66" t="s">
        <v>162</v>
      </c>
    </row>
    <row r="44" spans="1:29" x14ac:dyDescent="0.2">
      <c r="A44" s="63" t="s">
        <v>158</v>
      </c>
      <c r="B44" s="64" t="s">
        <v>39</v>
      </c>
      <c r="C44" s="65">
        <v>59856.414100000169</v>
      </c>
      <c r="D44" s="5"/>
      <c r="E44">
        <f t="shared" si="10"/>
        <v>55541.533420662607</v>
      </c>
      <c r="F44">
        <f t="shared" si="11"/>
        <v>55541.5</v>
      </c>
      <c r="G44">
        <f t="shared" si="12"/>
        <v>1.9288000170490704E-2</v>
      </c>
      <c r="K44">
        <f>+G44</f>
        <v>1.9288000170490704E-2</v>
      </c>
      <c r="O44">
        <f t="shared" ca="1" si="13"/>
        <v>2.1333685061272201E-2</v>
      </c>
      <c r="Q44" s="2">
        <f t="shared" si="14"/>
        <v>44837.914100000169</v>
      </c>
      <c r="R44" s="66" t="s">
        <v>162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5"/>
  <sheetViews>
    <sheetView topLeftCell="A8" workbookViewId="0">
      <selection activeCell="A31" sqref="A31:C31"/>
    </sheetView>
  </sheetViews>
  <sheetFormatPr defaultRowHeight="12.75" x14ac:dyDescent="0.2"/>
  <cols>
    <col min="1" max="1" width="19.7109375" style="15" customWidth="1"/>
    <col min="2" max="2" width="4.42578125" style="16" customWidth="1"/>
    <col min="3" max="3" width="12.7109375" style="15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5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50" t="s">
        <v>57</v>
      </c>
      <c r="I1" s="51" t="s">
        <v>58</v>
      </c>
      <c r="J1" s="52" t="s">
        <v>59</v>
      </c>
    </row>
    <row r="2" spans="1:16" x14ac:dyDescent="0.2">
      <c r="I2" s="53" t="s">
        <v>60</v>
      </c>
      <c r="J2" s="54" t="s">
        <v>61</v>
      </c>
    </row>
    <row r="3" spans="1:16" x14ac:dyDescent="0.2">
      <c r="A3" s="55" t="s">
        <v>62</v>
      </c>
      <c r="I3" s="53" t="s">
        <v>63</v>
      </c>
      <c r="J3" s="54" t="s">
        <v>64</v>
      </c>
    </row>
    <row r="4" spans="1:16" x14ac:dyDescent="0.2">
      <c r="I4" s="53" t="s">
        <v>65</v>
      </c>
      <c r="J4" s="54" t="s">
        <v>64</v>
      </c>
    </row>
    <row r="5" spans="1:16" ht="13.5" thickBot="1" x14ac:dyDescent="0.25">
      <c r="I5" s="56" t="s">
        <v>66</v>
      </c>
      <c r="J5" s="57" t="s">
        <v>67</v>
      </c>
    </row>
    <row r="10" spans="1:16" ht="13.5" thickBot="1" x14ac:dyDescent="0.25"/>
    <row r="11" spans="1:16" ht="12.75" customHeight="1" thickBot="1" x14ac:dyDescent="0.25">
      <c r="A11" s="15" t="str">
        <f t="shared" ref="A11:A31" si="0">P11</f>
        <v>IBVS 5710 </v>
      </c>
      <c r="B11" s="5" t="str">
        <f t="shared" ref="B11:B31" si="1">IF(H11=INT(H11),"I","II")</f>
        <v>II</v>
      </c>
      <c r="C11" s="15">
        <f t="shared" ref="C11:C31" si="2">1*G11</f>
        <v>47681.91</v>
      </c>
      <c r="D11" s="16" t="str">
        <f t="shared" ref="D11:D31" si="3">VLOOKUP(F11,I$1:J$5,2,FALSE)</f>
        <v>vis</v>
      </c>
      <c r="E11" s="58">
        <f>VLOOKUP(C11,Active!C$21:E$972,3,FALSE)</f>
        <v>34446.552584521982</v>
      </c>
      <c r="F11" s="5" t="s">
        <v>66</v>
      </c>
      <c r="G11" s="16" t="str">
        <f t="shared" ref="G11:G31" si="4">MID(I11,3,LEN(I11)-3)</f>
        <v>47681.91</v>
      </c>
      <c r="H11" s="15">
        <f t="shared" ref="H11:H31" si="5">1*K11</f>
        <v>34446.5</v>
      </c>
      <c r="I11" s="59" t="s">
        <v>68</v>
      </c>
      <c r="J11" s="60" t="s">
        <v>69</v>
      </c>
      <c r="K11" s="59">
        <v>34446.5</v>
      </c>
      <c r="L11" s="59" t="s">
        <v>70</v>
      </c>
      <c r="M11" s="60" t="s">
        <v>71</v>
      </c>
      <c r="N11" s="60" t="s">
        <v>72</v>
      </c>
      <c r="O11" s="61" t="s">
        <v>73</v>
      </c>
      <c r="P11" s="62" t="s">
        <v>74</v>
      </c>
    </row>
    <row r="12" spans="1:16" ht="12.75" customHeight="1" thickBot="1" x14ac:dyDescent="0.25">
      <c r="A12" s="15" t="str">
        <f t="shared" si="0"/>
        <v>IBVS 5710 </v>
      </c>
      <c r="B12" s="5" t="str">
        <f t="shared" si="1"/>
        <v>I</v>
      </c>
      <c r="C12" s="15">
        <f t="shared" si="2"/>
        <v>48101.77</v>
      </c>
      <c r="D12" s="16" t="str">
        <f t="shared" si="3"/>
        <v>vis</v>
      </c>
      <c r="E12" s="58">
        <f>VLOOKUP(C12,Active!C$21:E$972,3,FALSE)</f>
        <v>35174.051510236895</v>
      </c>
      <c r="F12" s="5" t="s">
        <v>66</v>
      </c>
      <c r="G12" s="16" t="str">
        <f t="shared" si="4"/>
        <v>48101.77</v>
      </c>
      <c r="H12" s="15">
        <f t="shared" si="5"/>
        <v>35174</v>
      </c>
      <c r="I12" s="59" t="s">
        <v>75</v>
      </c>
      <c r="J12" s="60" t="s">
        <v>76</v>
      </c>
      <c r="K12" s="59">
        <v>35174</v>
      </c>
      <c r="L12" s="59" t="s">
        <v>70</v>
      </c>
      <c r="M12" s="60" t="s">
        <v>71</v>
      </c>
      <c r="N12" s="60" t="s">
        <v>72</v>
      </c>
      <c r="O12" s="61" t="s">
        <v>73</v>
      </c>
      <c r="P12" s="62" t="s">
        <v>74</v>
      </c>
    </row>
    <row r="13" spans="1:16" ht="12.75" customHeight="1" thickBot="1" x14ac:dyDescent="0.25">
      <c r="A13" s="15" t="str">
        <f t="shared" si="0"/>
        <v> BBS 115 </v>
      </c>
      <c r="B13" s="5" t="str">
        <f t="shared" si="1"/>
        <v>I</v>
      </c>
      <c r="C13" s="15">
        <f t="shared" si="2"/>
        <v>50637.673999999999</v>
      </c>
      <c r="D13" s="16" t="str">
        <f t="shared" si="3"/>
        <v>vis</v>
      </c>
      <c r="E13" s="58">
        <f>VLOOKUP(C13,Active!C$21:E$972,3,FALSE)</f>
        <v>39568.057692574264</v>
      </c>
      <c r="F13" s="5" t="s">
        <v>66</v>
      </c>
      <c r="G13" s="16" t="str">
        <f t="shared" si="4"/>
        <v>50637.674</v>
      </c>
      <c r="H13" s="15">
        <f t="shared" si="5"/>
        <v>39568</v>
      </c>
      <c r="I13" s="59" t="s">
        <v>77</v>
      </c>
      <c r="J13" s="60" t="s">
        <v>78</v>
      </c>
      <c r="K13" s="59">
        <v>39568</v>
      </c>
      <c r="L13" s="59" t="s">
        <v>79</v>
      </c>
      <c r="M13" s="60" t="s">
        <v>71</v>
      </c>
      <c r="N13" s="60" t="s">
        <v>72</v>
      </c>
      <c r="O13" s="61" t="s">
        <v>80</v>
      </c>
      <c r="P13" s="61" t="s">
        <v>81</v>
      </c>
    </row>
    <row r="14" spans="1:16" ht="12.75" customHeight="1" thickBot="1" x14ac:dyDescent="0.25">
      <c r="A14" s="15" t="str">
        <f t="shared" si="0"/>
        <v> BBS 126 </v>
      </c>
      <c r="B14" s="5" t="str">
        <f t="shared" si="1"/>
        <v>II</v>
      </c>
      <c r="C14" s="15">
        <f t="shared" si="2"/>
        <v>52086.550999999999</v>
      </c>
      <c r="D14" s="16" t="str">
        <f t="shared" si="3"/>
        <v>vis</v>
      </c>
      <c r="E14" s="58">
        <f>VLOOKUP(C14,Active!C$21:E$972,3,FALSE)</f>
        <v>42078.552764724634</v>
      </c>
      <c r="F14" s="5" t="s">
        <v>66</v>
      </c>
      <c r="G14" s="16" t="str">
        <f t="shared" si="4"/>
        <v>52086.551</v>
      </c>
      <c r="H14" s="15">
        <f t="shared" si="5"/>
        <v>42078.5</v>
      </c>
      <c r="I14" s="59" t="s">
        <v>82</v>
      </c>
      <c r="J14" s="60" t="s">
        <v>83</v>
      </c>
      <c r="K14" s="59">
        <v>42078.5</v>
      </c>
      <c r="L14" s="59" t="s">
        <v>84</v>
      </c>
      <c r="M14" s="60" t="s">
        <v>71</v>
      </c>
      <c r="N14" s="60" t="s">
        <v>72</v>
      </c>
      <c r="O14" s="61" t="s">
        <v>85</v>
      </c>
      <c r="P14" s="61" t="s">
        <v>86</v>
      </c>
    </row>
    <row r="15" spans="1:16" ht="12.75" customHeight="1" thickBot="1" x14ac:dyDescent="0.25">
      <c r="A15" s="15" t="str">
        <f t="shared" si="0"/>
        <v> BBS 126 </v>
      </c>
      <c r="B15" s="5" t="str">
        <f t="shared" si="1"/>
        <v>I</v>
      </c>
      <c r="C15" s="15">
        <f t="shared" si="2"/>
        <v>52121.47</v>
      </c>
      <c r="D15" s="16" t="str">
        <f t="shared" si="3"/>
        <v>vis</v>
      </c>
      <c r="E15" s="58">
        <f>VLOOKUP(C15,Active!C$21:E$972,3,FALSE)</f>
        <v>42139.057540095098</v>
      </c>
      <c r="F15" s="5" t="s">
        <v>66</v>
      </c>
      <c r="G15" s="16" t="str">
        <f t="shared" si="4"/>
        <v>52121.4700</v>
      </c>
      <c r="H15" s="15">
        <f t="shared" si="5"/>
        <v>42139</v>
      </c>
      <c r="I15" s="59" t="s">
        <v>87</v>
      </c>
      <c r="J15" s="60" t="s">
        <v>88</v>
      </c>
      <c r="K15" s="59">
        <v>42139</v>
      </c>
      <c r="L15" s="59" t="s">
        <v>89</v>
      </c>
      <c r="M15" s="60" t="s">
        <v>71</v>
      </c>
      <c r="N15" s="60" t="s">
        <v>72</v>
      </c>
      <c r="O15" s="61" t="s">
        <v>85</v>
      </c>
      <c r="P15" s="61" t="s">
        <v>86</v>
      </c>
    </row>
    <row r="16" spans="1:16" ht="12.75" customHeight="1" thickBot="1" x14ac:dyDescent="0.25">
      <c r="A16" s="15" t="str">
        <f t="shared" si="0"/>
        <v> BBS 128 </v>
      </c>
      <c r="B16" s="5" t="str">
        <f t="shared" si="1"/>
        <v>II</v>
      </c>
      <c r="C16" s="15">
        <f t="shared" si="2"/>
        <v>52415.5219</v>
      </c>
      <c r="D16" s="16" t="str">
        <f t="shared" si="3"/>
        <v>vis</v>
      </c>
      <c r="E16" s="58">
        <f>VLOOKUP(C16,Active!C$21:E$972,3,FALSE)</f>
        <v>42648.566522504538</v>
      </c>
      <c r="F16" s="5" t="s">
        <v>66</v>
      </c>
      <c r="G16" s="16" t="str">
        <f t="shared" si="4"/>
        <v>52415.5219</v>
      </c>
      <c r="H16" s="15">
        <f t="shared" si="5"/>
        <v>42648.5</v>
      </c>
      <c r="I16" s="59" t="s">
        <v>90</v>
      </c>
      <c r="J16" s="60" t="s">
        <v>91</v>
      </c>
      <c r="K16" s="59">
        <v>42648.5</v>
      </c>
      <c r="L16" s="59" t="s">
        <v>92</v>
      </c>
      <c r="M16" s="60" t="s">
        <v>71</v>
      </c>
      <c r="N16" s="60" t="s">
        <v>72</v>
      </c>
      <c r="O16" s="61" t="s">
        <v>93</v>
      </c>
      <c r="P16" s="61" t="s">
        <v>94</v>
      </c>
    </row>
    <row r="17" spans="1:16" ht="12.75" customHeight="1" thickBot="1" x14ac:dyDescent="0.25">
      <c r="A17" s="15" t="str">
        <f t="shared" si="0"/>
        <v>IBVS 5592 </v>
      </c>
      <c r="B17" s="5" t="str">
        <f t="shared" si="1"/>
        <v>I</v>
      </c>
      <c r="C17" s="15">
        <f t="shared" si="2"/>
        <v>53105.4761</v>
      </c>
      <c r="D17" s="16" t="str">
        <f t="shared" si="3"/>
        <v>vis</v>
      </c>
      <c r="E17" s="58">
        <f>VLOOKUP(C17,Active!C$21:E$972,3,FALSE)</f>
        <v>43844.062495668208</v>
      </c>
      <c r="F17" s="5" t="s">
        <v>66</v>
      </c>
      <c r="G17" s="16" t="str">
        <f t="shared" si="4"/>
        <v>53105.4761</v>
      </c>
      <c r="H17" s="15">
        <f t="shared" si="5"/>
        <v>43844</v>
      </c>
      <c r="I17" s="59" t="s">
        <v>95</v>
      </c>
      <c r="J17" s="60" t="s">
        <v>96</v>
      </c>
      <c r="K17" s="59">
        <v>43844</v>
      </c>
      <c r="L17" s="59" t="s">
        <v>97</v>
      </c>
      <c r="M17" s="60" t="s">
        <v>71</v>
      </c>
      <c r="N17" s="60" t="s">
        <v>72</v>
      </c>
      <c r="O17" s="61" t="s">
        <v>98</v>
      </c>
      <c r="P17" s="62" t="s">
        <v>99</v>
      </c>
    </row>
    <row r="18" spans="1:16" ht="12.75" customHeight="1" thickBot="1" x14ac:dyDescent="0.25">
      <c r="A18" s="15" t="str">
        <f t="shared" si="0"/>
        <v>IBVS 5602 </v>
      </c>
      <c r="B18" s="5" t="str">
        <f t="shared" si="1"/>
        <v>II</v>
      </c>
      <c r="C18" s="15">
        <f t="shared" si="2"/>
        <v>53173.866099999999</v>
      </c>
      <c r="D18" s="16" t="str">
        <f t="shared" si="3"/>
        <v>vis</v>
      </c>
      <c r="E18" s="58">
        <f>VLOOKUP(C18,Active!C$21:E$972,3,FALSE)</f>
        <v>43962.563070930541</v>
      </c>
      <c r="F18" s="5" t="s">
        <v>66</v>
      </c>
      <c r="G18" s="16" t="str">
        <f t="shared" si="4"/>
        <v>53173.8661</v>
      </c>
      <c r="H18" s="15">
        <f t="shared" si="5"/>
        <v>43962.5</v>
      </c>
      <c r="I18" s="59" t="s">
        <v>100</v>
      </c>
      <c r="J18" s="60" t="s">
        <v>101</v>
      </c>
      <c r="K18" s="59">
        <v>43962.5</v>
      </c>
      <c r="L18" s="59" t="s">
        <v>102</v>
      </c>
      <c r="M18" s="60" t="s">
        <v>71</v>
      </c>
      <c r="N18" s="60" t="s">
        <v>72</v>
      </c>
      <c r="O18" s="61" t="s">
        <v>103</v>
      </c>
      <c r="P18" s="62" t="s">
        <v>104</v>
      </c>
    </row>
    <row r="19" spans="1:16" ht="12.75" customHeight="1" thickBot="1" x14ac:dyDescent="0.25">
      <c r="A19" s="15" t="str">
        <f t="shared" si="0"/>
        <v>IBVS 5710 </v>
      </c>
      <c r="B19" s="5" t="str">
        <f t="shared" si="1"/>
        <v>II</v>
      </c>
      <c r="C19" s="15">
        <f t="shared" si="2"/>
        <v>53513.795599999998</v>
      </c>
      <c r="D19" s="16" t="str">
        <f t="shared" si="3"/>
        <v>vis</v>
      </c>
      <c r="E19" s="58">
        <f>VLOOKUP(C19,Active!C$21:E$972,3,FALSE)</f>
        <v>44551.564990781939</v>
      </c>
      <c r="F19" s="5" t="s">
        <v>66</v>
      </c>
      <c r="G19" s="16" t="str">
        <f t="shared" si="4"/>
        <v>53513.7956</v>
      </c>
      <c r="H19" s="15">
        <f t="shared" si="5"/>
        <v>44551.5</v>
      </c>
      <c r="I19" s="59" t="s">
        <v>105</v>
      </c>
      <c r="J19" s="60" t="s">
        <v>106</v>
      </c>
      <c r="K19" s="59">
        <v>44551.5</v>
      </c>
      <c r="L19" s="59" t="s">
        <v>107</v>
      </c>
      <c r="M19" s="60" t="s">
        <v>71</v>
      </c>
      <c r="N19" s="60" t="s">
        <v>72</v>
      </c>
      <c r="O19" s="61" t="s">
        <v>73</v>
      </c>
      <c r="P19" s="62" t="s">
        <v>74</v>
      </c>
    </row>
    <row r="20" spans="1:16" ht="12.75" customHeight="1" thickBot="1" x14ac:dyDescent="0.25">
      <c r="A20" s="15" t="str">
        <f t="shared" si="0"/>
        <v>IBVS 5710 </v>
      </c>
      <c r="B20" s="5" t="str">
        <f t="shared" si="1"/>
        <v>I</v>
      </c>
      <c r="C20" s="15">
        <f t="shared" si="2"/>
        <v>53515.813499999997</v>
      </c>
      <c r="D20" s="16" t="str">
        <f t="shared" si="3"/>
        <v>vis</v>
      </c>
      <c r="E20" s="58">
        <f>VLOOKUP(C20,Active!C$21:E$972,3,FALSE)</f>
        <v>44555.061442175735</v>
      </c>
      <c r="F20" s="5" t="s">
        <v>66</v>
      </c>
      <c r="G20" s="16" t="str">
        <f t="shared" si="4"/>
        <v>53515.8135</v>
      </c>
      <c r="H20" s="15">
        <f t="shared" si="5"/>
        <v>44555</v>
      </c>
      <c r="I20" s="59" t="s">
        <v>108</v>
      </c>
      <c r="J20" s="60" t="s">
        <v>109</v>
      </c>
      <c r="K20" s="59">
        <v>44555</v>
      </c>
      <c r="L20" s="59" t="s">
        <v>110</v>
      </c>
      <c r="M20" s="60" t="s">
        <v>71</v>
      </c>
      <c r="N20" s="60" t="s">
        <v>72</v>
      </c>
      <c r="O20" s="61" t="s">
        <v>73</v>
      </c>
      <c r="P20" s="62" t="s">
        <v>74</v>
      </c>
    </row>
    <row r="21" spans="1:16" ht="12.75" customHeight="1" thickBot="1" x14ac:dyDescent="0.25">
      <c r="A21" s="15" t="str">
        <f t="shared" si="0"/>
        <v>IBVS 5710 </v>
      </c>
      <c r="B21" s="5" t="str">
        <f t="shared" si="1"/>
        <v>I</v>
      </c>
      <c r="C21" s="15">
        <f t="shared" si="2"/>
        <v>53518.698799999998</v>
      </c>
      <c r="D21" s="16" t="str">
        <f t="shared" si="3"/>
        <v>vis</v>
      </c>
      <c r="E21" s="58">
        <f>VLOOKUP(C21,Active!C$21:E$972,3,FALSE)</f>
        <v>44560.060853051662</v>
      </c>
      <c r="F21" s="5" t="s">
        <v>66</v>
      </c>
      <c r="G21" s="16" t="str">
        <f t="shared" si="4"/>
        <v>53518.6988</v>
      </c>
      <c r="H21" s="15">
        <f t="shared" si="5"/>
        <v>44560</v>
      </c>
      <c r="I21" s="59" t="s">
        <v>111</v>
      </c>
      <c r="J21" s="60" t="s">
        <v>112</v>
      </c>
      <c r="K21" s="59">
        <v>44560</v>
      </c>
      <c r="L21" s="59" t="s">
        <v>113</v>
      </c>
      <c r="M21" s="60" t="s">
        <v>71</v>
      </c>
      <c r="N21" s="60" t="s">
        <v>72</v>
      </c>
      <c r="O21" s="61" t="s">
        <v>73</v>
      </c>
      <c r="P21" s="62" t="s">
        <v>74</v>
      </c>
    </row>
    <row r="22" spans="1:16" ht="12.75" customHeight="1" thickBot="1" x14ac:dyDescent="0.25">
      <c r="A22" s="15" t="str">
        <f t="shared" si="0"/>
        <v>IBVS 5710 </v>
      </c>
      <c r="B22" s="5" t="str">
        <f t="shared" si="1"/>
        <v>I</v>
      </c>
      <c r="C22" s="15">
        <f t="shared" si="2"/>
        <v>53519.852299999999</v>
      </c>
      <c r="D22" s="16" t="str">
        <f t="shared" si="3"/>
        <v>vis</v>
      </c>
      <c r="E22" s="58">
        <f>VLOOKUP(C22,Active!C$21:E$972,3,FALSE)</f>
        <v>44562.059543116949</v>
      </c>
      <c r="F22" s="5" t="s">
        <v>66</v>
      </c>
      <c r="G22" s="16" t="str">
        <f t="shared" si="4"/>
        <v>53519.8523</v>
      </c>
      <c r="H22" s="15">
        <f t="shared" si="5"/>
        <v>44562</v>
      </c>
      <c r="I22" s="59" t="s">
        <v>114</v>
      </c>
      <c r="J22" s="60" t="s">
        <v>115</v>
      </c>
      <c r="K22" s="59">
        <v>44562</v>
      </c>
      <c r="L22" s="59" t="s">
        <v>116</v>
      </c>
      <c r="M22" s="60" t="s">
        <v>71</v>
      </c>
      <c r="N22" s="60" t="s">
        <v>72</v>
      </c>
      <c r="O22" s="61" t="s">
        <v>73</v>
      </c>
      <c r="P22" s="62" t="s">
        <v>74</v>
      </c>
    </row>
    <row r="23" spans="1:16" ht="12.75" customHeight="1" thickBot="1" x14ac:dyDescent="0.25">
      <c r="A23" s="15" t="str">
        <f t="shared" si="0"/>
        <v>IBVS 5710 </v>
      </c>
      <c r="B23" s="5" t="str">
        <f t="shared" si="1"/>
        <v>I</v>
      </c>
      <c r="C23" s="15">
        <f t="shared" si="2"/>
        <v>53522.737200000003</v>
      </c>
      <c r="D23" s="16" t="str">
        <f t="shared" si="3"/>
        <v>vis</v>
      </c>
      <c r="E23" s="58">
        <f>VLOOKUP(C23,Active!C$21:E$972,3,FALSE)</f>
        <v>44567.058260905731</v>
      </c>
      <c r="F23" s="5" t="s">
        <v>66</v>
      </c>
      <c r="G23" s="16" t="str">
        <f t="shared" si="4"/>
        <v>53522.7372</v>
      </c>
      <c r="H23" s="15">
        <f t="shared" si="5"/>
        <v>44567</v>
      </c>
      <c r="I23" s="59" t="s">
        <v>117</v>
      </c>
      <c r="J23" s="60" t="s">
        <v>118</v>
      </c>
      <c r="K23" s="59">
        <v>44567</v>
      </c>
      <c r="L23" s="59" t="s">
        <v>119</v>
      </c>
      <c r="M23" s="60" t="s">
        <v>71</v>
      </c>
      <c r="N23" s="60" t="s">
        <v>72</v>
      </c>
      <c r="O23" s="61" t="s">
        <v>73</v>
      </c>
      <c r="P23" s="62" t="s">
        <v>74</v>
      </c>
    </row>
    <row r="24" spans="1:16" ht="12.75" customHeight="1" thickBot="1" x14ac:dyDescent="0.25">
      <c r="A24" s="15" t="str">
        <f t="shared" si="0"/>
        <v>IBVS 5710 </v>
      </c>
      <c r="B24" s="5" t="str">
        <f t="shared" si="1"/>
        <v>II</v>
      </c>
      <c r="C24" s="15">
        <f t="shared" si="2"/>
        <v>53528.798600000002</v>
      </c>
      <c r="D24" s="16" t="str">
        <f t="shared" si="3"/>
        <v>vis</v>
      </c>
      <c r="E24" s="58">
        <f>VLOOKUP(C24,Active!C$21:E$972,3,FALSE)</f>
        <v>44577.560957014743</v>
      </c>
      <c r="F24" s="5" t="s">
        <v>66</v>
      </c>
      <c r="G24" s="16" t="str">
        <f t="shared" si="4"/>
        <v>53528.7986</v>
      </c>
      <c r="H24" s="15">
        <f t="shared" si="5"/>
        <v>44577.5</v>
      </c>
      <c r="I24" s="59" t="s">
        <v>120</v>
      </c>
      <c r="J24" s="60" t="s">
        <v>121</v>
      </c>
      <c r="K24" s="59">
        <v>44577.5</v>
      </c>
      <c r="L24" s="59" t="s">
        <v>122</v>
      </c>
      <c r="M24" s="60" t="s">
        <v>71</v>
      </c>
      <c r="N24" s="60" t="s">
        <v>72</v>
      </c>
      <c r="O24" s="61" t="s">
        <v>73</v>
      </c>
      <c r="P24" s="62" t="s">
        <v>74</v>
      </c>
    </row>
    <row r="25" spans="1:16" ht="12.75" customHeight="1" thickBot="1" x14ac:dyDescent="0.25">
      <c r="A25" s="15" t="str">
        <f t="shared" si="0"/>
        <v>IBVS 5875 </v>
      </c>
      <c r="B25" s="5" t="str">
        <f t="shared" si="1"/>
        <v>II</v>
      </c>
      <c r="C25" s="15">
        <f t="shared" si="2"/>
        <v>54533.003100000002</v>
      </c>
      <c r="D25" s="16" t="str">
        <f t="shared" si="3"/>
        <v>vis</v>
      </c>
      <c r="E25" s="58">
        <f>VLOOKUP(C25,Active!C$21:E$972,3,FALSE)</f>
        <v>46317.564041252554</v>
      </c>
      <c r="F25" s="5" t="s">
        <v>66</v>
      </c>
      <c r="G25" s="16" t="str">
        <f t="shared" si="4"/>
        <v>54533.0031</v>
      </c>
      <c r="H25" s="15">
        <f t="shared" si="5"/>
        <v>46317.5</v>
      </c>
      <c r="I25" s="59" t="s">
        <v>129</v>
      </c>
      <c r="J25" s="60" t="s">
        <v>130</v>
      </c>
      <c r="K25" s="59">
        <v>46317.5</v>
      </c>
      <c r="L25" s="59" t="s">
        <v>131</v>
      </c>
      <c r="M25" s="60" t="s">
        <v>126</v>
      </c>
      <c r="N25" s="60" t="s">
        <v>58</v>
      </c>
      <c r="O25" s="61" t="s">
        <v>103</v>
      </c>
      <c r="P25" s="62" t="s">
        <v>132</v>
      </c>
    </row>
    <row r="26" spans="1:16" ht="12.75" customHeight="1" thickBot="1" x14ac:dyDescent="0.25">
      <c r="A26" s="15" t="str">
        <f t="shared" si="0"/>
        <v>BAVM 201 </v>
      </c>
      <c r="B26" s="5" t="str">
        <f t="shared" si="1"/>
        <v>II</v>
      </c>
      <c r="C26" s="15">
        <f t="shared" si="2"/>
        <v>54600.525699999998</v>
      </c>
      <c r="D26" s="16" t="str">
        <f t="shared" si="3"/>
        <v>vis</v>
      </c>
      <c r="E26" s="58">
        <f>VLOOKUP(C26,Active!C$21:E$972,3,FALSE)</f>
        <v>46434.561657032755</v>
      </c>
      <c r="F26" s="5" t="s">
        <v>66</v>
      </c>
      <c r="G26" s="16" t="str">
        <f t="shared" si="4"/>
        <v>54600.5257</v>
      </c>
      <c r="H26" s="15">
        <f t="shared" si="5"/>
        <v>46434.5</v>
      </c>
      <c r="I26" s="59" t="s">
        <v>133</v>
      </c>
      <c r="J26" s="60" t="s">
        <v>134</v>
      </c>
      <c r="K26" s="59">
        <v>46434.5</v>
      </c>
      <c r="L26" s="59" t="s">
        <v>135</v>
      </c>
      <c r="M26" s="60" t="s">
        <v>126</v>
      </c>
      <c r="N26" s="60" t="s">
        <v>136</v>
      </c>
      <c r="O26" s="61" t="s">
        <v>137</v>
      </c>
      <c r="P26" s="62" t="s">
        <v>138</v>
      </c>
    </row>
    <row r="27" spans="1:16" ht="12.75" customHeight="1" thickBot="1" x14ac:dyDescent="0.25">
      <c r="A27" s="15" t="str">
        <f t="shared" si="0"/>
        <v>IBVS 5945 </v>
      </c>
      <c r="B27" s="5" t="str">
        <f t="shared" si="1"/>
        <v>II</v>
      </c>
      <c r="C27" s="15">
        <f t="shared" si="2"/>
        <v>55339.823499999999</v>
      </c>
      <c r="D27" s="16" t="str">
        <f t="shared" si="3"/>
        <v>vis</v>
      </c>
      <c r="E27" s="58">
        <f>VLOOKUP(C27,Active!C$21:E$972,3,FALSE)</f>
        <v>47715.556167782539</v>
      </c>
      <c r="F27" s="5" t="s">
        <v>66</v>
      </c>
      <c r="G27" s="16" t="str">
        <f t="shared" si="4"/>
        <v>55339.8235</v>
      </c>
      <c r="H27" s="15">
        <f t="shared" si="5"/>
        <v>47715.5</v>
      </c>
      <c r="I27" s="59" t="s">
        <v>139</v>
      </c>
      <c r="J27" s="60" t="s">
        <v>140</v>
      </c>
      <c r="K27" s="59" t="s">
        <v>141</v>
      </c>
      <c r="L27" s="59" t="s">
        <v>142</v>
      </c>
      <c r="M27" s="60" t="s">
        <v>126</v>
      </c>
      <c r="N27" s="60" t="s">
        <v>66</v>
      </c>
      <c r="O27" s="61" t="s">
        <v>93</v>
      </c>
      <c r="P27" s="62" t="s">
        <v>143</v>
      </c>
    </row>
    <row r="28" spans="1:16" ht="12.75" customHeight="1" thickBot="1" x14ac:dyDescent="0.25">
      <c r="A28" s="15" t="str">
        <f t="shared" si="0"/>
        <v>BAVM 220 </v>
      </c>
      <c r="B28" s="5" t="str">
        <f t="shared" si="1"/>
        <v>II</v>
      </c>
      <c r="C28" s="15">
        <f t="shared" si="2"/>
        <v>55711.495799999997</v>
      </c>
      <c r="D28" s="16" t="str">
        <f t="shared" si="3"/>
        <v>vis</v>
      </c>
      <c r="E28" s="58">
        <f>VLOOKUP(C28,Active!C$21:E$972,3,FALSE)</f>
        <v>48359.559404499516</v>
      </c>
      <c r="F28" s="5" t="s">
        <v>66</v>
      </c>
      <c r="G28" s="16" t="str">
        <f t="shared" si="4"/>
        <v>55711.4958</v>
      </c>
      <c r="H28" s="15">
        <f t="shared" si="5"/>
        <v>48359.5</v>
      </c>
      <c r="I28" s="59" t="s">
        <v>144</v>
      </c>
      <c r="J28" s="60" t="s">
        <v>145</v>
      </c>
      <c r="K28" s="59" t="s">
        <v>146</v>
      </c>
      <c r="L28" s="59" t="s">
        <v>147</v>
      </c>
      <c r="M28" s="60" t="s">
        <v>126</v>
      </c>
      <c r="N28" s="60" t="s">
        <v>136</v>
      </c>
      <c r="O28" s="61" t="s">
        <v>137</v>
      </c>
      <c r="P28" s="62" t="s">
        <v>148</v>
      </c>
    </row>
    <row r="29" spans="1:16" ht="12.75" customHeight="1" thickBot="1" x14ac:dyDescent="0.25">
      <c r="A29" s="15" t="str">
        <f t="shared" si="0"/>
        <v>BAVM 231 </v>
      </c>
      <c r="B29" s="5" t="str">
        <f t="shared" si="1"/>
        <v>I</v>
      </c>
      <c r="C29" s="15">
        <f t="shared" si="2"/>
        <v>56072.487500000003</v>
      </c>
      <c r="D29" s="16" t="str">
        <f t="shared" si="3"/>
        <v>vis</v>
      </c>
      <c r="E29" s="58">
        <f>VLOOKUP(C29,Active!C$21:E$972,3,FALSE)</f>
        <v>48985.056174713412</v>
      </c>
      <c r="F29" s="5" t="s">
        <v>66</v>
      </c>
      <c r="G29" s="16" t="str">
        <f t="shared" si="4"/>
        <v>56072.4875</v>
      </c>
      <c r="H29" s="15">
        <f t="shared" si="5"/>
        <v>48985</v>
      </c>
      <c r="I29" s="59" t="s">
        <v>149</v>
      </c>
      <c r="J29" s="60" t="s">
        <v>150</v>
      </c>
      <c r="K29" s="59" t="s">
        <v>151</v>
      </c>
      <c r="L29" s="59" t="s">
        <v>142</v>
      </c>
      <c r="M29" s="60" t="s">
        <v>126</v>
      </c>
      <c r="N29" s="60" t="s">
        <v>136</v>
      </c>
      <c r="O29" s="61" t="s">
        <v>137</v>
      </c>
      <c r="P29" s="62" t="s">
        <v>152</v>
      </c>
    </row>
    <row r="30" spans="1:16" ht="12.75" customHeight="1" thickBot="1" x14ac:dyDescent="0.25">
      <c r="A30" s="15" t="str">
        <f t="shared" si="0"/>
        <v>BAVM 239 </v>
      </c>
      <c r="B30" s="5" t="str">
        <f t="shared" si="1"/>
        <v>II</v>
      </c>
      <c r="C30" s="15">
        <f t="shared" si="2"/>
        <v>56908.454700000002</v>
      </c>
      <c r="D30" s="16" t="str">
        <f t="shared" si="3"/>
        <v>vis</v>
      </c>
      <c r="E30" s="58">
        <f>VLOOKUP(C30,Active!C$21:E$972,3,FALSE)</f>
        <v>50433.551482513416</v>
      </c>
      <c r="F30" s="5" t="s">
        <v>66</v>
      </c>
      <c r="G30" s="16" t="str">
        <f t="shared" si="4"/>
        <v>56908.4547</v>
      </c>
      <c r="H30" s="15">
        <f t="shared" si="5"/>
        <v>50433.5</v>
      </c>
      <c r="I30" s="59" t="s">
        <v>153</v>
      </c>
      <c r="J30" s="60" t="s">
        <v>154</v>
      </c>
      <c r="K30" s="59" t="s">
        <v>155</v>
      </c>
      <c r="L30" s="59" t="s">
        <v>156</v>
      </c>
      <c r="M30" s="60" t="s">
        <v>126</v>
      </c>
      <c r="N30" s="60" t="s">
        <v>136</v>
      </c>
      <c r="O30" s="61" t="s">
        <v>137</v>
      </c>
      <c r="P30" s="62" t="s">
        <v>157</v>
      </c>
    </row>
    <row r="31" spans="1:16" ht="12.75" customHeight="1" thickBot="1" x14ac:dyDescent="0.25">
      <c r="A31" s="15" t="str">
        <f t="shared" si="0"/>
        <v>IBVS 5806 </v>
      </c>
      <c r="B31" s="5" t="str">
        <f t="shared" si="1"/>
        <v>I</v>
      </c>
      <c r="C31" s="15">
        <f t="shared" si="2"/>
        <v>53933.654000000002</v>
      </c>
      <c r="D31" s="16" t="str">
        <f t="shared" si="3"/>
        <v>vis</v>
      </c>
      <c r="E31" s="58" t="e">
        <f>VLOOKUP(C31,Active!C$21:E$972,3,FALSE)</f>
        <v>#N/A</v>
      </c>
      <c r="F31" s="5" t="s">
        <v>66</v>
      </c>
      <c r="G31" s="16" t="str">
        <f t="shared" si="4"/>
        <v>53933.6540</v>
      </c>
      <c r="H31" s="15">
        <f t="shared" si="5"/>
        <v>45279</v>
      </c>
      <c r="I31" s="59" t="s">
        <v>123</v>
      </c>
      <c r="J31" s="60" t="s">
        <v>124</v>
      </c>
      <c r="K31" s="59">
        <v>45279</v>
      </c>
      <c r="L31" s="59" t="s">
        <v>125</v>
      </c>
      <c r="M31" s="60" t="s">
        <v>126</v>
      </c>
      <c r="N31" s="60" t="s">
        <v>127</v>
      </c>
      <c r="O31" s="61" t="s">
        <v>98</v>
      </c>
      <c r="P31" s="62" t="s">
        <v>128</v>
      </c>
    </row>
    <row r="32" spans="1:16" x14ac:dyDescent="0.2">
      <c r="B32" s="5"/>
      <c r="E32" s="58"/>
      <c r="F32" s="5"/>
    </row>
    <row r="33" spans="2:6" x14ac:dyDescent="0.2">
      <c r="B33" s="5"/>
      <c r="E33" s="58"/>
      <c r="F33" s="5"/>
    </row>
    <row r="34" spans="2:6" x14ac:dyDescent="0.2">
      <c r="B34" s="5"/>
      <c r="E34" s="58"/>
      <c r="F34" s="5"/>
    </row>
    <row r="35" spans="2:6" x14ac:dyDescent="0.2">
      <c r="B35" s="5"/>
      <c r="E35" s="58"/>
      <c r="F35" s="5"/>
    </row>
    <row r="36" spans="2:6" x14ac:dyDescent="0.2">
      <c r="B36" s="5"/>
      <c r="E36" s="58"/>
      <c r="F36" s="5"/>
    </row>
    <row r="37" spans="2:6" x14ac:dyDescent="0.2">
      <c r="B37" s="5"/>
      <c r="E37" s="58"/>
      <c r="F37" s="5"/>
    </row>
    <row r="38" spans="2:6" x14ac:dyDescent="0.2">
      <c r="B38" s="5"/>
      <c r="E38" s="58"/>
      <c r="F38" s="5"/>
    </row>
    <row r="39" spans="2:6" x14ac:dyDescent="0.2">
      <c r="B39" s="5"/>
      <c r="E39" s="58"/>
      <c r="F39" s="5"/>
    </row>
    <row r="40" spans="2:6" x14ac:dyDescent="0.2">
      <c r="B40" s="5"/>
      <c r="E40" s="58"/>
      <c r="F40" s="5"/>
    </row>
    <row r="41" spans="2:6" x14ac:dyDescent="0.2">
      <c r="B41" s="5"/>
      <c r="E41" s="58"/>
      <c r="F41" s="5"/>
    </row>
    <row r="42" spans="2:6" x14ac:dyDescent="0.2">
      <c r="B42" s="5"/>
      <c r="E42" s="58"/>
      <c r="F42" s="5"/>
    </row>
    <row r="43" spans="2:6" x14ac:dyDescent="0.2">
      <c r="B43" s="5"/>
      <c r="E43" s="58"/>
      <c r="F43" s="5"/>
    </row>
    <row r="44" spans="2:6" x14ac:dyDescent="0.2">
      <c r="B44" s="5"/>
      <c r="E44" s="58"/>
      <c r="F44" s="5"/>
    </row>
    <row r="45" spans="2:6" x14ac:dyDescent="0.2">
      <c r="B45" s="5"/>
      <c r="E45" s="58"/>
      <c r="F45" s="5"/>
    </row>
    <row r="46" spans="2:6" x14ac:dyDescent="0.2">
      <c r="B46" s="5"/>
      <c r="E46" s="58"/>
      <c r="F46" s="5"/>
    </row>
    <row r="47" spans="2:6" x14ac:dyDescent="0.2">
      <c r="B47" s="5"/>
      <c r="E47" s="58"/>
      <c r="F47" s="5"/>
    </row>
    <row r="48" spans="2:6" x14ac:dyDescent="0.2">
      <c r="B48" s="5"/>
      <c r="E48" s="58"/>
      <c r="F48" s="5"/>
    </row>
    <row r="49" spans="2:6" x14ac:dyDescent="0.2">
      <c r="B49" s="5"/>
      <c r="E49" s="58"/>
      <c r="F49" s="5"/>
    </row>
    <row r="50" spans="2:6" x14ac:dyDescent="0.2">
      <c r="B50" s="5"/>
      <c r="E50" s="58"/>
      <c r="F50" s="5"/>
    </row>
    <row r="51" spans="2:6" x14ac:dyDescent="0.2">
      <c r="B51" s="5"/>
      <c r="E51" s="58"/>
      <c r="F51" s="5"/>
    </row>
    <row r="52" spans="2:6" x14ac:dyDescent="0.2">
      <c r="B52" s="5"/>
      <c r="E52" s="58"/>
      <c r="F52" s="5"/>
    </row>
    <row r="53" spans="2:6" x14ac:dyDescent="0.2">
      <c r="B53" s="5"/>
      <c r="E53" s="58"/>
      <c r="F53" s="5"/>
    </row>
    <row r="54" spans="2:6" x14ac:dyDescent="0.2">
      <c r="B54" s="5"/>
      <c r="E54" s="58"/>
      <c r="F54" s="5"/>
    </row>
    <row r="55" spans="2:6" x14ac:dyDescent="0.2">
      <c r="B55" s="5"/>
      <c r="E55" s="58"/>
      <c r="F55" s="5"/>
    </row>
    <row r="56" spans="2:6" x14ac:dyDescent="0.2">
      <c r="B56" s="5"/>
      <c r="E56" s="58"/>
      <c r="F56" s="5"/>
    </row>
    <row r="57" spans="2:6" x14ac:dyDescent="0.2">
      <c r="B57" s="5"/>
      <c r="E57" s="58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</sheetData>
  <phoneticPr fontId="8" type="noConversion"/>
  <hyperlinks>
    <hyperlink ref="P11" r:id="rId1" display="http://www.konkoly.hu/cgi-bin/IBVS?5710" xr:uid="{00000000-0004-0000-0100-000000000000}"/>
    <hyperlink ref="P12" r:id="rId2" display="http://www.konkoly.hu/cgi-bin/IBVS?5710" xr:uid="{00000000-0004-0000-0100-000001000000}"/>
    <hyperlink ref="P17" r:id="rId3" display="http://www.konkoly.hu/cgi-bin/IBVS?5592" xr:uid="{00000000-0004-0000-0100-000002000000}"/>
    <hyperlink ref="P18" r:id="rId4" display="http://www.konkoly.hu/cgi-bin/IBVS?5602" xr:uid="{00000000-0004-0000-0100-000003000000}"/>
    <hyperlink ref="P19" r:id="rId5" display="http://www.konkoly.hu/cgi-bin/IBVS?5710" xr:uid="{00000000-0004-0000-0100-000004000000}"/>
    <hyperlink ref="P20" r:id="rId6" display="http://www.konkoly.hu/cgi-bin/IBVS?5710" xr:uid="{00000000-0004-0000-0100-000005000000}"/>
    <hyperlink ref="P21" r:id="rId7" display="http://www.konkoly.hu/cgi-bin/IBVS?5710" xr:uid="{00000000-0004-0000-0100-000006000000}"/>
    <hyperlink ref="P22" r:id="rId8" display="http://www.konkoly.hu/cgi-bin/IBVS?5710" xr:uid="{00000000-0004-0000-0100-000007000000}"/>
    <hyperlink ref="P23" r:id="rId9" display="http://www.konkoly.hu/cgi-bin/IBVS?5710" xr:uid="{00000000-0004-0000-0100-000008000000}"/>
    <hyperlink ref="P24" r:id="rId10" display="http://www.konkoly.hu/cgi-bin/IBVS?5710" xr:uid="{00000000-0004-0000-0100-000009000000}"/>
    <hyperlink ref="P31" r:id="rId11" display="http://www.konkoly.hu/cgi-bin/IBVS?5806" xr:uid="{00000000-0004-0000-0100-00000A000000}"/>
    <hyperlink ref="P25" r:id="rId12" display="http://www.konkoly.hu/cgi-bin/IBVS?5875" xr:uid="{00000000-0004-0000-0100-00000B000000}"/>
    <hyperlink ref="P26" r:id="rId13" display="http://www.bav-astro.de/sfs/BAVM_link.php?BAVMnr=201" xr:uid="{00000000-0004-0000-0100-00000C000000}"/>
    <hyperlink ref="P27" r:id="rId14" display="http://www.konkoly.hu/cgi-bin/IBVS?5945" xr:uid="{00000000-0004-0000-0100-00000D000000}"/>
    <hyperlink ref="P28" r:id="rId15" display="http://www.bav-astro.de/sfs/BAVM_link.php?BAVMnr=220" xr:uid="{00000000-0004-0000-0100-00000E000000}"/>
    <hyperlink ref="P29" r:id="rId16" display="http://www.bav-astro.de/sfs/BAVM_link.php?BAVMnr=231" xr:uid="{00000000-0004-0000-0100-00000F000000}"/>
    <hyperlink ref="P30" r:id="rId17" display="http://www.bav-astro.de/sfs/BAVM_link.php?BAVMnr=239" xr:uid="{00000000-0004-0000-0100-00001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2024-02-19T01:29:09Z</dcterms:modified>
</cp:coreProperties>
</file>