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9A757A5-C99F-4826-A53B-2731192E3A1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D9" i="2" l="1"/>
  <c r="C9" i="2"/>
  <c r="E21" i="2"/>
  <c r="F21" i="2"/>
  <c r="E26" i="2"/>
  <c r="F26" i="2"/>
  <c r="E31" i="2"/>
  <c r="F31" i="2"/>
  <c r="Q34" i="2"/>
  <c r="Q24" i="2"/>
  <c r="Q33" i="2"/>
  <c r="Q32" i="2"/>
  <c r="Q31" i="2"/>
  <c r="G18" i="3"/>
  <c r="C18" i="3"/>
  <c r="G17" i="3"/>
  <c r="C17" i="3"/>
  <c r="G16" i="3"/>
  <c r="C16" i="3"/>
  <c r="E16" i="3"/>
  <c r="G13" i="3"/>
  <c r="C13" i="3"/>
  <c r="C7" i="2"/>
  <c r="E28" i="2"/>
  <c r="F28" i="2"/>
  <c r="G15" i="3"/>
  <c r="C15" i="3"/>
  <c r="E15" i="3"/>
  <c r="G14" i="3"/>
  <c r="C14" i="3"/>
  <c r="E14" i="3"/>
  <c r="G12" i="3"/>
  <c r="C12" i="3"/>
  <c r="G19" i="3"/>
  <c r="C19" i="3"/>
  <c r="H18" i="3"/>
  <c r="D18" i="3"/>
  <c r="B18" i="3"/>
  <c r="A18" i="3"/>
  <c r="H17" i="3"/>
  <c r="D17" i="3"/>
  <c r="B17" i="3"/>
  <c r="A17" i="3"/>
  <c r="H16" i="3"/>
  <c r="D16" i="3"/>
  <c r="B16" i="3"/>
  <c r="A16" i="3"/>
  <c r="H13" i="3"/>
  <c r="D13" i="3"/>
  <c r="B13" i="3"/>
  <c r="A13" i="3"/>
  <c r="H15" i="3"/>
  <c r="D15" i="3"/>
  <c r="B15" i="3"/>
  <c r="A15" i="3"/>
  <c r="H14" i="3"/>
  <c r="D14" i="3"/>
  <c r="B14" i="3"/>
  <c r="A14" i="3"/>
  <c r="H12" i="3"/>
  <c r="D12" i="3"/>
  <c r="B12" i="3"/>
  <c r="A12" i="3"/>
  <c r="H19" i="3"/>
  <c r="D19" i="3"/>
  <c r="B19" i="3"/>
  <c r="A19" i="3"/>
  <c r="Q28" i="2"/>
  <c r="Q29" i="2"/>
  <c r="F16" i="2"/>
  <c r="C17" i="2"/>
  <c r="Q21" i="2"/>
  <c r="Q22" i="2"/>
  <c r="Q23" i="2"/>
  <c r="Q25" i="2"/>
  <c r="Q26" i="2"/>
  <c r="Q27" i="2"/>
  <c r="Q30" i="2"/>
  <c r="Q27" i="1"/>
  <c r="E26" i="1"/>
  <c r="F26" i="1"/>
  <c r="G26" i="1"/>
  <c r="J26" i="1"/>
  <c r="Q25" i="1"/>
  <c r="Q26" i="1"/>
  <c r="E15" i="1"/>
  <c r="E16" i="1" s="1"/>
  <c r="E17" i="1" s="1"/>
  <c r="C17" i="1"/>
  <c r="E24" i="1"/>
  <c r="F24" i="1"/>
  <c r="G24" i="1"/>
  <c r="J24" i="1"/>
  <c r="Q24" i="1"/>
  <c r="C7" i="1"/>
  <c r="E22" i="1"/>
  <c r="F22" i="1"/>
  <c r="G22" i="1"/>
  <c r="I22" i="1"/>
  <c r="C8" i="1"/>
  <c r="E23" i="1"/>
  <c r="F23" i="1"/>
  <c r="G23" i="1"/>
  <c r="H23" i="1"/>
  <c r="E21" i="1"/>
  <c r="F21" i="1"/>
  <c r="G21" i="1"/>
  <c r="Q21" i="1"/>
  <c r="Q22" i="1"/>
  <c r="Q23" i="1"/>
  <c r="C12" i="1"/>
  <c r="C16" i="1"/>
  <c r="D18" i="1"/>
  <c r="C11" i="1"/>
  <c r="I21" i="1"/>
  <c r="E33" i="2"/>
  <c r="F33" i="2"/>
  <c r="G33" i="2"/>
  <c r="J33" i="2"/>
  <c r="E23" i="2"/>
  <c r="F23" i="2"/>
  <c r="G23" i="2"/>
  <c r="I23" i="2"/>
  <c r="G29" i="2"/>
  <c r="K29" i="2"/>
  <c r="E30" i="2"/>
  <c r="F30" i="2"/>
  <c r="G30" i="2"/>
  <c r="K30" i="2"/>
  <c r="G27" i="2"/>
  <c r="J27" i="2"/>
  <c r="E25" i="2"/>
  <c r="F25" i="2"/>
  <c r="G25" i="2"/>
  <c r="K25" i="2"/>
  <c r="E29" i="2"/>
  <c r="F29" i="2"/>
  <c r="E25" i="1"/>
  <c r="F25" i="1"/>
  <c r="E27" i="1"/>
  <c r="F27" i="1"/>
  <c r="G27" i="1"/>
  <c r="J27" i="1"/>
  <c r="E32" i="2"/>
  <c r="F32" i="2"/>
  <c r="G32" i="2"/>
  <c r="J32" i="2"/>
  <c r="E22" i="2"/>
  <c r="F22" i="2"/>
  <c r="G22" i="2"/>
  <c r="I22" i="2"/>
  <c r="G31" i="2"/>
  <c r="J31" i="2"/>
  <c r="E27" i="2"/>
  <c r="F27" i="2"/>
  <c r="G21" i="2"/>
  <c r="E34" i="2"/>
  <c r="F34" i="2"/>
  <c r="G34" i="2"/>
  <c r="K34" i="2"/>
  <c r="G28" i="2"/>
  <c r="K28" i="2"/>
  <c r="G26" i="2"/>
  <c r="J26" i="2"/>
  <c r="E24" i="2"/>
  <c r="F24" i="2"/>
  <c r="G24" i="2"/>
  <c r="I24" i="2"/>
  <c r="E13" i="3"/>
  <c r="E19" i="3"/>
  <c r="E17" i="3"/>
  <c r="O27" i="1"/>
  <c r="R27" i="1"/>
  <c r="O24" i="1"/>
  <c r="R24" i="1"/>
  <c r="O22" i="1"/>
  <c r="R22" i="1"/>
  <c r="O23" i="1"/>
  <c r="R23" i="1"/>
  <c r="O26" i="1"/>
  <c r="R26" i="1"/>
  <c r="C15" i="1"/>
  <c r="O21" i="1"/>
  <c r="R21" i="1"/>
  <c r="R19" i="1"/>
  <c r="O25" i="1"/>
  <c r="E18" i="3"/>
  <c r="I21" i="2"/>
  <c r="E12" i="3"/>
  <c r="C18" i="1"/>
  <c r="C12" i="2"/>
  <c r="C11" i="2"/>
  <c r="C15" i="2" l="1"/>
  <c r="O32" i="2"/>
  <c r="O23" i="2"/>
  <c r="O27" i="2"/>
  <c r="O22" i="2"/>
  <c r="O24" i="2"/>
  <c r="O28" i="2"/>
  <c r="O31" i="2"/>
  <c r="O25" i="2"/>
  <c r="O29" i="2"/>
  <c r="O33" i="2"/>
  <c r="O26" i="2"/>
  <c r="O21" i="2"/>
  <c r="O30" i="2"/>
  <c r="O34" i="2"/>
  <c r="C16" i="2"/>
  <c r="D18" i="2" s="1"/>
  <c r="F17" i="2"/>
  <c r="C18" i="2" l="1"/>
  <c r="F18" i="2"/>
  <c r="F19" i="2" s="1"/>
</calcChain>
</file>

<file path=xl/sharedStrings.xml><?xml version="1.0" encoding="utf-8"?>
<sst xmlns="http://schemas.openxmlformats.org/spreadsheetml/2006/main" count="208" uniqueCount="104">
  <si>
    <t>IBVS 6244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</si>
  <si>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</si>
  <si>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</si>
  <si>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</si>
  <si>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</si>
  <si>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</si>
  <si>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</si>
  <si>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</si>
  <si>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</si>
  <si>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</si>
  <si>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</si>
  <si>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</si>
  <si>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</si>
  <si>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</si>
  <si>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</si>
  <si>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</si>
  <si>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</si>
  <si>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</si>
  <si>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</si>
  <si>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</si>
  <si>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</si>
  <si>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</si>
  <si>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</si>
  <si>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</si>
  <si>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</si>
  <si>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</si>
  <si>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</si>
  <si>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</si>
  <si>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</si>
  <si>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</si>
  <si>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</si>
  <si>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</si>
  <si>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Bull.28</t>
  </si>
  <si>
    <t>B</t>
  </si>
  <si>
    <t>BBSAG</t>
  </si>
  <si>
    <t># of data points:</t>
  </si>
  <si>
    <t>EB</t>
  </si>
  <si>
    <t>IBVS 5438</t>
  </si>
  <si>
    <t>I</t>
  </si>
  <si>
    <t>IBVS</t>
  </si>
  <si>
    <t>HT Lyr / gsc 3103-1504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</si>
  <si>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</si>
  <si>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</si>
  <si>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</si>
  <si>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</si>
  <si>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</si>
  <si>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</si>
  <si>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5731</t>
  </si>
  <si>
    <t>IBVS 5945</t>
  </si>
  <si>
    <t>Start of linear fit &gt;&gt;&gt;&gt;&gt;&gt;&gt;&gt;&gt;&gt;&gt;&gt;&gt;&gt;&gt;&gt;&gt;&gt;&gt;&gt;&gt;</t>
  </si>
  <si>
    <t>Add cycle</t>
  </si>
  <si>
    <t>Old Cycle</t>
  </si>
  <si>
    <t>OEJV 0137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</si>
  <si>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</si>
  <si>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</si>
  <si>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</si>
  <si>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</si>
  <si>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</si>
  <si>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</si>
  <si>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</si>
  <si>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</si>
  <si>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</si>
  <si>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</si>
  <si>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</si>
  <si>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2452082.429 </t>
  </si>
  <si>
    <t> 21.06.2001 22:17 </t>
  </si>
  <si>
    <t> -0.024 </t>
  </si>
  <si>
    <t>E </t>
  </si>
  <si>
    <t>?</t>
  </si>
  <si>
    <t> R.Diethelm </t>
  </si>
  <si>
    <t> BBS 125 </t>
  </si>
  <si>
    <t>2452526.3448 </t>
  </si>
  <si>
    <t> 08.09.2002 20:16 </t>
  </si>
  <si>
    <t> -0.0305 </t>
  </si>
  <si>
    <t> E.Blättler </t>
  </si>
  <si>
    <t> BBS 129 </t>
  </si>
  <si>
    <t>2454955.4233 </t>
  </si>
  <si>
    <t> 03.05.2009 22:09 </t>
  </si>
  <si>
    <t> -0.0255 </t>
  </si>
  <si>
    <t>C </t>
  </si>
  <si>
    <t> V.Pribík </t>
  </si>
  <si>
    <t>OEJV 0137 </t>
  </si>
  <si>
    <t>2454968.3531 </t>
  </si>
  <si>
    <t> 16.05.2009 20:28 </t>
  </si>
  <si>
    <t> -0.0254 </t>
  </si>
  <si>
    <t>2455333.8381 </t>
  </si>
  <si>
    <t> 17.05.2010 08:06 </t>
  </si>
  <si>
    <t> -0.0220 </t>
  </si>
  <si>
    <t>IBVS 5945 </t>
  </si>
  <si>
    <t>2456797.4769 </t>
  </si>
  <si>
    <t> 19.05.2014 23:26 </t>
  </si>
  <si>
    <t> -0.0336 </t>
  </si>
  <si>
    <t>o</t>
  </si>
  <si>
    <t> W.Moschner &amp; P.Frank </t>
  </si>
  <si>
    <t>BAVM 241 (=IBVS 6157) </t>
  </si>
  <si>
    <t>2457122.4521 </t>
  </si>
  <si>
    <t> 09.04.2015 22:51 </t>
  </si>
  <si>
    <t> -0.0267 </t>
  </si>
  <si>
    <t>2457144.8643 </t>
  </si>
  <si>
    <t> 02.05.2015 08:44 </t>
  </si>
  <si>
    <t> -0.0261 </t>
  </si>
  <si>
    <t>IBVS 6157</t>
  </si>
  <si>
    <t>vis/CCD</t>
  </si>
  <si>
    <t>vis / 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</si>
</sst>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9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9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5" fillId="0" borderId="0" xfId="42" applyFont="1" applyAlignment="1">
      <alignment horizontal="left" vertical="center"/>
    </xf>
    <xf numFmtId="0" fontId="15" fillId="0" borderId="0" xfId="42" applyFont="1" applyAlignment="1">
      <alignment horizontal="center" vertical="center" wrapText="1"/>
    </xf>
    <xf numFmtId="0" fontId="15" fillId="0" borderId="0" xfId="42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Lyr - O-C Diagr.</a:t>
            </a:r>
          </a:p>
        </c:rich>
      </c:tx>
      <c:layout>
        <c:manualLayout>
          <c:xMode val="edge"/>
          <c:yMode val="edge"/>
          <c:x val="0.390532854990759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5689983076276"/>
          <c:y val="0.14769252958613219"/>
          <c:w val="0.8195272191712648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-4119.5</c:v>
                </c:pt>
                <c:pt idx="1">
                  <c:v>-4035</c:v>
                </c:pt>
                <c:pt idx="2">
                  <c:v>0</c:v>
                </c:pt>
                <c:pt idx="3">
                  <c:v>20827.5</c:v>
                </c:pt>
                <c:pt idx="4">
                  <c:v>22037</c:v>
                </c:pt>
                <c:pt idx="5">
                  <c:v>25674.5</c:v>
                </c:pt>
                <c:pt idx="6">
                  <c:v>25675</c:v>
                </c:pt>
                <c:pt idx="7">
                  <c:v>28655.5</c:v>
                </c:pt>
                <c:pt idx="8">
                  <c:v>28690.5</c:v>
                </c:pt>
                <c:pt idx="9">
                  <c:v>29686.5</c:v>
                </c:pt>
                <c:pt idx="10">
                  <c:v>33674.5</c:v>
                </c:pt>
                <c:pt idx="11">
                  <c:v>34560</c:v>
                </c:pt>
                <c:pt idx="12">
                  <c:v>34621</c:v>
                </c:pt>
                <c:pt idx="13">
                  <c:v>35664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3B-4FA8-9046-79F316DD47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4">
                    <c:v>1E-3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0.02</c:v>
                  </c:pt>
                  <c:pt idx="8">
                    <c:v>0.05</c:v>
                  </c:pt>
                  <c:pt idx="9">
                    <c:v>4.0000000000000002E-4</c:v>
                  </c:pt>
                  <c:pt idx="10">
                    <c:v>3.5000000000000001E-3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4">
                    <c:v>1E-3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0.02</c:v>
                  </c:pt>
                  <c:pt idx="8">
                    <c:v>0.05</c:v>
                  </c:pt>
                  <c:pt idx="9">
                    <c:v>4.0000000000000002E-4</c:v>
                  </c:pt>
                  <c:pt idx="10">
                    <c:v>3.5000000000000001E-3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-4119.5</c:v>
                </c:pt>
                <c:pt idx="1">
                  <c:v>-4035</c:v>
                </c:pt>
                <c:pt idx="2">
                  <c:v>0</c:v>
                </c:pt>
                <c:pt idx="3">
                  <c:v>20827.5</c:v>
                </c:pt>
                <c:pt idx="4">
                  <c:v>22037</c:v>
                </c:pt>
                <c:pt idx="5">
                  <c:v>25674.5</c:v>
                </c:pt>
                <c:pt idx="6">
                  <c:v>25675</c:v>
                </c:pt>
                <c:pt idx="7">
                  <c:v>28655.5</c:v>
                </c:pt>
                <c:pt idx="8">
                  <c:v>28690.5</c:v>
                </c:pt>
                <c:pt idx="9">
                  <c:v>29686.5</c:v>
                </c:pt>
                <c:pt idx="10">
                  <c:v>33674.5</c:v>
                </c:pt>
                <c:pt idx="11">
                  <c:v>34560</c:v>
                </c:pt>
                <c:pt idx="12">
                  <c:v>34621</c:v>
                </c:pt>
                <c:pt idx="13">
                  <c:v>35664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2.5315000020782463E-3</c:v>
                </c:pt>
                <c:pt idx="1">
                  <c:v>1.4595000000554137E-2</c:v>
                </c:pt>
                <c:pt idx="2">
                  <c:v>0</c:v>
                </c:pt>
                <c:pt idx="3">
                  <c:v>1.1432499995862599E-2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3B-4FA8-9046-79F316DD47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2">
                    <c:v>0</c:v>
                  </c:pt>
                  <c:pt idx="4">
                    <c:v>1E-3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0.02</c:v>
                  </c:pt>
                  <c:pt idx="8">
                    <c:v>0.05</c:v>
                  </c:pt>
                  <c:pt idx="9">
                    <c:v>4.0000000000000002E-4</c:v>
                  </c:pt>
                  <c:pt idx="10">
                    <c:v>3.5000000000000001E-3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2">
                    <c:v>0</c:v>
                  </c:pt>
                  <c:pt idx="4">
                    <c:v>1E-3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0.02</c:v>
                  </c:pt>
                  <c:pt idx="8">
                    <c:v>0.05</c:v>
                  </c:pt>
                  <c:pt idx="9">
                    <c:v>4.0000000000000002E-4</c:v>
                  </c:pt>
                  <c:pt idx="10">
                    <c:v>3.5000000000000001E-3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-4119.5</c:v>
                </c:pt>
                <c:pt idx="1">
                  <c:v>-4035</c:v>
                </c:pt>
                <c:pt idx="2">
                  <c:v>0</c:v>
                </c:pt>
                <c:pt idx="3">
                  <c:v>20827.5</c:v>
                </c:pt>
                <c:pt idx="4">
                  <c:v>22037</c:v>
                </c:pt>
                <c:pt idx="5">
                  <c:v>25674.5</c:v>
                </c:pt>
                <c:pt idx="6">
                  <c:v>25675</c:v>
                </c:pt>
                <c:pt idx="7">
                  <c:v>28655.5</c:v>
                </c:pt>
                <c:pt idx="8">
                  <c:v>28690.5</c:v>
                </c:pt>
                <c:pt idx="9">
                  <c:v>29686.5</c:v>
                </c:pt>
                <c:pt idx="10">
                  <c:v>33674.5</c:v>
                </c:pt>
                <c:pt idx="11">
                  <c:v>34560</c:v>
                </c:pt>
                <c:pt idx="12">
                  <c:v>34621</c:v>
                </c:pt>
                <c:pt idx="13">
                  <c:v>35664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">
                  <c:v>7.3335000051883981E-3</c:v>
                </c:pt>
                <c:pt idx="6">
                  <c:v>1.3624999999592546E-2</c:v>
                </c:pt>
                <c:pt idx="10">
                  <c:v>-8.0664999986765906E-3</c:v>
                </c:pt>
                <c:pt idx="11">
                  <c:v>-2.6419999994686805E-2</c:v>
                </c:pt>
                <c:pt idx="12">
                  <c:v>-2.2570000000996515E-3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3B-4FA8-9046-79F316DD47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1E-3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0.02</c:v>
                  </c:pt>
                  <c:pt idx="8">
                    <c:v>0.05</c:v>
                  </c:pt>
                  <c:pt idx="9">
                    <c:v>4.0000000000000002E-4</c:v>
                  </c:pt>
                  <c:pt idx="10">
                    <c:v>3.5000000000000001E-3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1E-3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0.02</c:v>
                  </c:pt>
                  <c:pt idx="8">
                    <c:v>0.05</c:v>
                  </c:pt>
                  <c:pt idx="9">
                    <c:v>4.0000000000000002E-4</c:v>
                  </c:pt>
                  <c:pt idx="10">
                    <c:v>3.5000000000000001E-3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-4119.5</c:v>
                </c:pt>
                <c:pt idx="1">
                  <c:v>-4035</c:v>
                </c:pt>
                <c:pt idx="2">
                  <c:v>0</c:v>
                </c:pt>
                <c:pt idx="3">
                  <c:v>20827.5</c:v>
                </c:pt>
                <c:pt idx="4">
                  <c:v>22037</c:v>
                </c:pt>
                <c:pt idx="5">
                  <c:v>25674.5</c:v>
                </c:pt>
                <c:pt idx="6">
                  <c:v>25675</c:v>
                </c:pt>
                <c:pt idx="7">
                  <c:v>28655.5</c:v>
                </c:pt>
                <c:pt idx="8">
                  <c:v>28690.5</c:v>
                </c:pt>
                <c:pt idx="9">
                  <c:v>29686.5</c:v>
                </c:pt>
                <c:pt idx="10">
                  <c:v>33674.5</c:v>
                </c:pt>
                <c:pt idx="11">
                  <c:v>34560</c:v>
                </c:pt>
                <c:pt idx="12">
                  <c:v>34621</c:v>
                </c:pt>
                <c:pt idx="13">
                  <c:v>35664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4">
                  <c:v>2.017100000375649E-2</c:v>
                </c:pt>
                <c:pt idx="7">
                  <c:v>-3.2935000053839758E-3</c:v>
                </c:pt>
                <c:pt idx="8">
                  <c:v>8.0951500007358845E-2</c:v>
                </c:pt>
                <c:pt idx="9">
                  <c:v>1.6929500001424458E-2</c:v>
                </c:pt>
                <c:pt idx="13">
                  <c:v>-7.9887999992934056E-2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3B-4FA8-9046-79F316DD47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1E-3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0.02</c:v>
                  </c:pt>
                  <c:pt idx="8">
                    <c:v>0.05</c:v>
                  </c:pt>
                  <c:pt idx="9">
                    <c:v>4.0000000000000002E-4</c:v>
                  </c:pt>
                  <c:pt idx="10">
                    <c:v>3.5000000000000001E-3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1E-3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0.02</c:v>
                  </c:pt>
                  <c:pt idx="8">
                    <c:v>0.05</c:v>
                  </c:pt>
                  <c:pt idx="9">
                    <c:v>4.0000000000000002E-4</c:v>
                  </c:pt>
                  <c:pt idx="10">
                    <c:v>3.5000000000000001E-3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-4119.5</c:v>
                </c:pt>
                <c:pt idx="1">
                  <c:v>-4035</c:v>
                </c:pt>
                <c:pt idx="2">
                  <c:v>0</c:v>
                </c:pt>
                <c:pt idx="3">
                  <c:v>20827.5</c:v>
                </c:pt>
                <c:pt idx="4">
                  <c:v>22037</c:v>
                </c:pt>
                <c:pt idx="5">
                  <c:v>25674.5</c:v>
                </c:pt>
                <c:pt idx="6">
                  <c:v>25675</c:v>
                </c:pt>
                <c:pt idx="7">
                  <c:v>28655.5</c:v>
                </c:pt>
                <c:pt idx="8">
                  <c:v>28690.5</c:v>
                </c:pt>
                <c:pt idx="9">
                  <c:v>29686.5</c:v>
                </c:pt>
                <c:pt idx="10">
                  <c:v>33674.5</c:v>
                </c:pt>
                <c:pt idx="11">
                  <c:v>34560</c:v>
                </c:pt>
                <c:pt idx="12">
                  <c:v>34621</c:v>
                </c:pt>
                <c:pt idx="13">
                  <c:v>35664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3B-4FA8-9046-79F316DD47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1E-3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0.02</c:v>
                  </c:pt>
                  <c:pt idx="8">
                    <c:v>0.05</c:v>
                  </c:pt>
                  <c:pt idx="9">
                    <c:v>4.0000000000000002E-4</c:v>
                  </c:pt>
                  <c:pt idx="10">
                    <c:v>3.5000000000000001E-3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1E-3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0.02</c:v>
                  </c:pt>
                  <c:pt idx="8">
                    <c:v>0.05</c:v>
                  </c:pt>
                  <c:pt idx="9">
                    <c:v>4.0000000000000002E-4</c:v>
                  </c:pt>
                  <c:pt idx="10">
                    <c:v>3.5000000000000001E-3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-4119.5</c:v>
                </c:pt>
                <c:pt idx="1">
                  <c:v>-4035</c:v>
                </c:pt>
                <c:pt idx="2">
                  <c:v>0</c:v>
                </c:pt>
                <c:pt idx="3">
                  <c:v>20827.5</c:v>
                </c:pt>
                <c:pt idx="4">
                  <c:v>22037</c:v>
                </c:pt>
                <c:pt idx="5">
                  <c:v>25674.5</c:v>
                </c:pt>
                <c:pt idx="6">
                  <c:v>25675</c:v>
                </c:pt>
                <c:pt idx="7">
                  <c:v>28655.5</c:v>
                </c:pt>
                <c:pt idx="8">
                  <c:v>28690.5</c:v>
                </c:pt>
                <c:pt idx="9">
                  <c:v>29686.5</c:v>
                </c:pt>
                <c:pt idx="10">
                  <c:v>33674.5</c:v>
                </c:pt>
                <c:pt idx="11">
                  <c:v>34560</c:v>
                </c:pt>
                <c:pt idx="12">
                  <c:v>34621</c:v>
                </c:pt>
                <c:pt idx="13">
                  <c:v>35664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3B-4FA8-9046-79F316DD47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1E-3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0.02</c:v>
                  </c:pt>
                  <c:pt idx="8">
                    <c:v>0.05</c:v>
                  </c:pt>
                  <c:pt idx="9">
                    <c:v>4.0000000000000002E-4</c:v>
                  </c:pt>
                  <c:pt idx="10">
                    <c:v>3.5000000000000001E-3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4">
                    <c:v>1E-3</c:v>
                  </c:pt>
                  <c:pt idx="5">
                    <c:v>2.8999999999999998E-3</c:v>
                  </c:pt>
                  <c:pt idx="6">
                    <c:v>1.6000000000000001E-3</c:v>
                  </c:pt>
                  <c:pt idx="7">
                    <c:v>0.02</c:v>
                  </c:pt>
                  <c:pt idx="8">
                    <c:v>0.05</c:v>
                  </c:pt>
                  <c:pt idx="9">
                    <c:v>4.0000000000000002E-4</c:v>
                  </c:pt>
                  <c:pt idx="10">
                    <c:v>3.5000000000000001E-3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-4119.5</c:v>
                </c:pt>
                <c:pt idx="1">
                  <c:v>-4035</c:v>
                </c:pt>
                <c:pt idx="2">
                  <c:v>0</c:v>
                </c:pt>
                <c:pt idx="3">
                  <c:v>20827.5</c:v>
                </c:pt>
                <c:pt idx="4">
                  <c:v>22037</c:v>
                </c:pt>
                <c:pt idx="5">
                  <c:v>25674.5</c:v>
                </c:pt>
                <c:pt idx="6">
                  <c:v>25675</c:v>
                </c:pt>
                <c:pt idx="7">
                  <c:v>28655.5</c:v>
                </c:pt>
                <c:pt idx="8">
                  <c:v>28690.5</c:v>
                </c:pt>
                <c:pt idx="9">
                  <c:v>29686.5</c:v>
                </c:pt>
                <c:pt idx="10">
                  <c:v>33674.5</c:v>
                </c:pt>
                <c:pt idx="11">
                  <c:v>34560</c:v>
                </c:pt>
                <c:pt idx="12">
                  <c:v>34621</c:v>
                </c:pt>
                <c:pt idx="13">
                  <c:v>35664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3B-4FA8-9046-79F316DD47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-4119.5</c:v>
                </c:pt>
                <c:pt idx="1">
                  <c:v>-4035</c:v>
                </c:pt>
                <c:pt idx="2">
                  <c:v>0</c:v>
                </c:pt>
                <c:pt idx="3">
                  <c:v>20827.5</c:v>
                </c:pt>
                <c:pt idx="4">
                  <c:v>22037</c:v>
                </c:pt>
                <c:pt idx="5">
                  <c:v>25674.5</c:v>
                </c:pt>
                <c:pt idx="6">
                  <c:v>25675</c:v>
                </c:pt>
                <c:pt idx="7">
                  <c:v>28655.5</c:v>
                </c:pt>
                <c:pt idx="8">
                  <c:v>28690.5</c:v>
                </c:pt>
                <c:pt idx="9">
                  <c:v>29686.5</c:v>
                </c:pt>
                <c:pt idx="10">
                  <c:v>33674.5</c:v>
                </c:pt>
                <c:pt idx="11">
                  <c:v>34560</c:v>
                </c:pt>
                <c:pt idx="12">
                  <c:v>34621</c:v>
                </c:pt>
                <c:pt idx="13">
                  <c:v>35664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1.6199754586510146E-2</c:v>
                </c:pt>
                <c:pt idx="1">
                  <c:v>1.6158760855595877E-2</c:v>
                </c:pt>
                <c:pt idx="2">
                  <c:v>1.4201249562825728E-2</c:v>
                </c:pt>
                <c:pt idx="3">
                  <c:v>4.0971438750511818E-3</c:v>
                </c:pt>
                <c:pt idx="4">
                  <c:v>3.5103756201303633E-3</c:v>
                </c:pt>
                <c:pt idx="5">
                  <c:v>1.7457046591758604E-3</c:v>
                </c:pt>
                <c:pt idx="6">
                  <c:v>1.7454620927207475E-3</c:v>
                </c:pt>
                <c:pt idx="7">
                  <c:v>2.9952345378606721E-4</c:v>
                </c:pt>
                <c:pt idx="8">
                  <c:v>2.8254380192808612E-4</c:v>
                </c:pt>
                <c:pt idx="9">
                  <c:v>-2.0064857665904462E-4</c:v>
                </c:pt>
                <c:pt idx="10">
                  <c:v>-2.1353586226484766E-3</c:v>
                </c:pt>
                <c:pt idx="11">
                  <c:v>-2.5649438146554075E-3</c:v>
                </c:pt>
                <c:pt idx="12">
                  <c:v>-2.5945369221793187E-3</c:v>
                </c:pt>
                <c:pt idx="13">
                  <c:v>-3.1005305475471662E-3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3B-4FA8-9046-79F316DD478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-4119.5</c:v>
                </c:pt>
                <c:pt idx="1">
                  <c:v>-4035</c:v>
                </c:pt>
                <c:pt idx="2">
                  <c:v>0</c:v>
                </c:pt>
                <c:pt idx="3">
                  <c:v>20827.5</c:v>
                </c:pt>
                <c:pt idx="4">
                  <c:v>22037</c:v>
                </c:pt>
                <c:pt idx="5">
                  <c:v>25674.5</c:v>
                </c:pt>
                <c:pt idx="6">
                  <c:v>25675</c:v>
                </c:pt>
                <c:pt idx="7">
                  <c:v>28655.5</c:v>
                </c:pt>
                <c:pt idx="8">
                  <c:v>28690.5</c:v>
                </c:pt>
                <c:pt idx="9">
                  <c:v>29686.5</c:v>
                </c:pt>
                <c:pt idx="10">
                  <c:v>33674.5</c:v>
                </c:pt>
                <c:pt idx="11">
                  <c:v>34560</c:v>
                </c:pt>
                <c:pt idx="12">
                  <c:v>34621</c:v>
                </c:pt>
                <c:pt idx="13">
                  <c:v>35664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3B-4FA8-9046-79F316DD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715976"/>
        <c:axId val="1"/>
      </c:scatterChart>
      <c:valAx>
        <c:axId val="423715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689496653155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65680473372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715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78713755455124"/>
          <c:y val="0.92000129214617399"/>
          <c:w val="0.7115389274565532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Lyr - O-C Diagr.</a:t>
            </a:r>
          </a:p>
        </c:rich>
      </c:tx>
      <c:layout>
        <c:manualLayout>
          <c:xMode val="edge"/>
          <c:yMode val="edge"/>
          <c:x val="0.347107871846597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8C-4113-8C47-F9B3678AD71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0">
                  <c:v>-2.4854000002960674E-3</c:v>
                </c:pt>
                <c:pt idx="1">
                  <c:v>-8.9417999988654628E-3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8C-4113-8C47-F9B3678AD71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3">
                  <c:v>-3.0516699996951502E-2</c:v>
                </c:pt>
                <c:pt idx="4">
                  <c:v>0.19736564999766415</c:v>
                </c:pt>
                <c:pt idx="5">
                  <c:v>-4.3826799999806099E-2</c:v>
                </c:pt>
                <c:pt idx="6">
                  <c:v>-2.2036000002117362E-2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8C-4113-8C47-F9B3678AD71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8C-4113-8C47-F9B3678AD71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8C-4113-8C47-F9B3678AD71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8C-4113-8C47-F9B3678AD71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8C-4113-8C47-F9B3678AD71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-3.5354409692195054E-3</c:v>
                </c:pt>
                <c:pt idx="1">
                  <c:v>-3.6133619818067499E-3</c:v>
                </c:pt>
                <c:pt idx="2">
                  <c:v>-7.3319258602758189E-3</c:v>
                </c:pt>
                <c:pt idx="3">
                  <c:v>-2.7641172002112416E-2</c:v>
                </c:pt>
                <c:pt idx="4">
                  <c:v>-3.0992857779649875E-2</c:v>
                </c:pt>
                <c:pt idx="5">
                  <c:v>-3.0993940015935806E-2</c:v>
                </c:pt>
                <c:pt idx="6">
                  <c:v>-3.4690859168686194E-2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8C-4113-8C47-F9B3678AD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882112"/>
        <c:axId val="1"/>
      </c:scatterChart>
      <c:valAx>
        <c:axId val="149882112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82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Lyr - O-C Diagr.</a:t>
            </a:r>
          </a:p>
        </c:rich>
      </c:tx>
      <c:layout>
        <c:manualLayout>
          <c:xMode val="edge"/>
          <c:yMode val="edge"/>
          <c:x val="0.3484536082474226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953316519776211"/>
          <c:w val="0.76288659793814428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AA-45A2-824E-DF325988AA5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0">
                  <c:v>-2.4854000002960674E-3</c:v>
                </c:pt>
                <c:pt idx="1">
                  <c:v>-8.9417999988654628E-3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AA-45A2-824E-DF325988AA5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3">
                  <c:v>-3.0516699996951502E-2</c:v>
                </c:pt>
                <c:pt idx="4">
                  <c:v>0.19736564999766415</c:v>
                </c:pt>
                <c:pt idx="5">
                  <c:v>-4.3826799999806099E-2</c:v>
                </c:pt>
                <c:pt idx="6">
                  <c:v>-2.2036000002117362E-2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AA-45A2-824E-DF325988AA5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AA-45A2-824E-DF325988AA5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AA-45A2-824E-DF325988AA5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AA-45A2-824E-DF325988AA5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">
                    <c:v>0</c:v>
                  </c:pt>
                  <c:pt idx="3">
                    <c:v>1E-3</c:v>
                  </c:pt>
                  <c:pt idx="4">
                    <c:v>2.8999999999999998E-3</c:v>
                  </c:pt>
                  <c:pt idx="5">
                    <c:v>1.6000000000000001E-3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AA-45A2-824E-DF325988AA5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-1754</c:v>
                </c:pt>
                <c:pt idx="1">
                  <c:v>-1718</c:v>
                </c:pt>
                <c:pt idx="2">
                  <c:v>0</c:v>
                </c:pt>
                <c:pt idx="3">
                  <c:v>9383</c:v>
                </c:pt>
                <c:pt idx="4">
                  <c:v>10931.5</c:v>
                </c:pt>
                <c:pt idx="5">
                  <c:v>10932</c:v>
                </c:pt>
                <c:pt idx="6">
                  <c:v>12640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-3.5354409692195054E-3</c:v>
                </c:pt>
                <c:pt idx="1">
                  <c:v>-3.6133619818067499E-3</c:v>
                </c:pt>
                <c:pt idx="2">
                  <c:v>-7.3319258602758189E-3</c:v>
                </c:pt>
                <c:pt idx="3">
                  <c:v>-2.7641172002112416E-2</c:v>
                </c:pt>
                <c:pt idx="4">
                  <c:v>-3.0992857779649875E-2</c:v>
                </c:pt>
                <c:pt idx="5">
                  <c:v>-3.0993940015935806E-2</c:v>
                </c:pt>
                <c:pt idx="6">
                  <c:v>-3.4690859168686194E-2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AA-45A2-824E-DF325988A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881752"/>
        <c:axId val="1"/>
      </c:scatterChart>
      <c:valAx>
        <c:axId val="149881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81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8556701030927835E-2"/>
          <c:y val="0.91900605882208652"/>
          <c:w val="0.99175257731958766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228600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00CB598-A68A-FE5B-CF40-B79062E8F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28575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A46F33B-BAA1-2FB3-97DE-75CB431DB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21</xdr:col>
      <xdr:colOff>171450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D29F2B3-8299-CD0F-4835-417AC5FA8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45" TargetMode="External"/><Relationship Id="rId2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var.astro.cz/oejv/issues/oejv0137.pdf" TargetMode="External"/><Relationship Id="rId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256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s="48" customFormat="1" ht="12.95" customHeight="1" x14ac:dyDescent="0.2">
      <c r="A2" s="48" t="s">
        <v>27</v>
      </c>
      <c r="B2" s="49" t="s">
        <v>36</v>
      </c>
    </row>
    <row r="3" spans="1:6" s="48" customFormat="1" ht="12.95" customHeight="1" x14ac:dyDescent="0.2"/>
    <row r="4" spans="1:6" s="48" customFormat="1" ht="12.95" customHeight="1" thickTop="1" thickBot="1" x14ac:dyDescent="0.25">
      <c r="A4" s="50" t="s">
        <v>2</v>
      </c>
      <c r="C4" s="51">
        <v>44438.370999999999</v>
      </c>
      <c r="D4" s="52">
        <v>0.86198490000000005</v>
      </c>
    </row>
    <row r="5" spans="1:6" s="48" customFormat="1" ht="12.95" customHeight="1" thickTop="1" x14ac:dyDescent="0.2">
      <c r="A5" s="53" t="s">
        <v>41</v>
      </c>
      <c r="C5" s="54">
        <v>-9.5</v>
      </c>
      <c r="D5" s="48" t="s">
        <v>42</v>
      </c>
    </row>
    <row r="6" spans="1:6" s="48" customFormat="1" ht="12.95" customHeight="1" x14ac:dyDescent="0.2">
      <c r="A6" s="50" t="s">
        <v>3</v>
      </c>
    </row>
    <row r="7" spans="1:6" s="48" customFormat="1" ht="12.95" customHeight="1" x14ac:dyDescent="0.2">
      <c r="A7" s="48" t="s">
        <v>4</v>
      </c>
      <c r="C7" s="48">
        <f>+C4</f>
        <v>44438.370999999999</v>
      </c>
    </row>
    <row r="8" spans="1:6" s="48" customFormat="1" ht="12.95" customHeight="1" x14ac:dyDescent="0.2">
      <c r="A8" s="48" t="s">
        <v>5</v>
      </c>
      <c r="C8" s="48">
        <v>0.36701699999999998</v>
      </c>
    </row>
    <row r="9" spans="1:6" s="48" customFormat="1" ht="12.95" customHeight="1" x14ac:dyDescent="0.2">
      <c r="A9" s="55" t="s">
        <v>49</v>
      </c>
      <c r="B9" s="56">
        <v>21</v>
      </c>
      <c r="C9" s="57" t="str">
        <f>"F"&amp;B9</f>
        <v>F21</v>
      </c>
      <c r="D9" s="58" t="str">
        <f>"G"&amp;B9</f>
        <v>G21</v>
      </c>
    </row>
    <row r="10" spans="1:6" s="48" customFormat="1" ht="12.95" customHeight="1" thickBot="1" x14ac:dyDescent="0.25">
      <c r="C10" s="59" t="s">
        <v>23</v>
      </c>
      <c r="D10" s="59" t="s">
        <v>24</v>
      </c>
    </row>
    <row r="11" spans="1:6" s="48" customFormat="1" ht="12.95" customHeight="1" x14ac:dyDescent="0.2">
      <c r="A11" s="48" t="s">
        <v>18</v>
      </c>
      <c r="C11" s="58">
        <f ca="1">INTERCEPT(INDIRECT($D$9):G990,INDIRECT($C$9):F990)</f>
        <v>1.4201249562825728E-2</v>
      </c>
      <c r="D11" s="60"/>
    </row>
    <row r="12" spans="1:6" s="48" customFormat="1" ht="12.95" customHeight="1" x14ac:dyDescent="0.2">
      <c r="A12" s="48" t="s">
        <v>19</v>
      </c>
      <c r="C12" s="58">
        <f ca="1">SLOPE(INDIRECT($D$9):G990,INDIRECT($C$9):F990)</f>
        <v>-4.851329102280421E-7</v>
      </c>
      <c r="D12" s="60"/>
    </row>
    <row r="13" spans="1:6" s="48" customFormat="1" ht="12.95" customHeight="1" x14ac:dyDescent="0.2">
      <c r="A13" s="48" t="s">
        <v>22</v>
      </c>
      <c r="C13" s="60" t="s">
        <v>16</v>
      </c>
    </row>
    <row r="14" spans="1:6" s="48" customFormat="1" ht="12.95" customHeight="1" x14ac:dyDescent="0.2"/>
    <row r="15" spans="1:6" s="48" customFormat="1" ht="12.95" customHeight="1" x14ac:dyDescent="0.2">
      <c r="A15" s="61" t="s">
        <v>20</v>
      </c>
      <c r="C15" s="62">
        <f ca="1">(C7+C11)+(C8+C12)*INT(MAX(F21:F3531))</f>
        <v>57527.662187469454</v>
      </c>
      <c r="E15" s="63" t="s">
        <v>50</v>
      </c>
      <c r="F15" s="54">
        <v>1</v>
      </c>
    </row>
    <row r="16" spans="1:6" s="48" customFormat="1" ht="12.95" customHeight="1" x14ac:dyDescent="0.2">
      <c r="A16" s="50" t="s">
        <v>6</v>
      </c>
      <c r="C16" s="64">
        <f ca="1">+C8+C12</f>
        <v>0.36701651486708975</v>
      </c>
      <c r="E16" s="63" t="s">
        <v>43</v>
      </c>
      <c r="F16" s="65">
        <f ca="1">NOW()+15018.5+$C$5/24</f>
        <v>60359.714183217591</v>
      </c>
    </row>
    <row r="17" spans="1:30" s="48" customFormat="1" ht="12.95" customHeight="1" thickBot="1" x14ac:dyDescent="0.25">
      <c r="A17" s="63" t="s">
        <v>35</v>
      </c>
      <c r="C17" s="48">
        <f>COUNT(C21:C2189)</f>
        <v>14</v>
      </c>
      <c r="E17" s="63" t="s">
        <v>51</v>
      </c>
      <c r="F17" s="65">
        <f ca="1">ROUND(2*(F16-$C$7)/$C$8,0)/2+F15</f>
        <v>43381.5</v>
      </c>
    </row>
    <row r="18" spans="1:30" s="48" customFormat="1" ht="12.95" customHeight="1" thickTop="1" thickBot="1" x14ac:dyDescent="0.25">
      <c r="A18" s="50" t="s">
        <v>7</v>
      </c>
      <c r="C18" s="51">
        <f ca="1">+C15</f>
        <v>57527.662187469454</v>
      </c>
      <c r="D18" s="66">
        <f ca="1">+C16</f>
        <v>0.36701651486708975</v>
      </c>
      <c r="E18" s="63" t="s">
        <v>44</v>
      </c>
      <c r="F18" s="58">
        <f ca="1">ROUND(2*(F16-$C$15)/$C$16,0)/2+F15</f>
        <v>7717.5</v>
      </c>
    </row>
    <row r="19" spans="1:30" s="48" customFormat="1" ht="12.95" customHeight="1" thickTop="1" x14ac:dyDescent="0.2">
      <c r="E19" s="63" t="s">
        <v>45</v>
      </c>
      <c r="F19" s="67">
        <f ca="1">+$C$15+$C$16*F18-15018.5-$C$5/24</f>
        <v>45342.007974289554</v>
      </c>
    </row>
    <row r="20" spans="1:30" s="48" customFormat="1" ht="12.95" customHeight="1" thickBot="1" x14ac:dyDescent="0.25">
      <c r="A20" s="59" t="s">
        <v>8</v>
      </c>
      <c r="B20" s="59" t="s">
        <v>9</v>
      </c>
      <c r="C20" s="59" t="s">
        <v>10</v>
      </c>
      <c r="D20" s="59" t="s">
        <v>15</v>
      </c>
      <c r="E20" s="59" t="s">
        <v>11</v>
      </c>
      <c r="F20" s="59" t="s">
        <v>12</v>
      </c>
      <c r="G20" s="59" t="s">
        <v>13</v>
      </c>
      <c r="H20" s="68" t="s">
        <v>60</v>
      </c>
      <c r="I20" s="68" t="s">
        <v>63</v>
      </c>
      <c r="J20" s="68" t="s">
        <v>57</v>
      </c>
      <c r="K20" s="68" t="s">
        <v>55</v>
      </c>
      <c r="L20" s="68" t="s">
        <v>28</v>
      </c>
      <c r="M20" s="68" t="s">
        <v>29</v>
      </c>
      <c r="N20" s="68" t="s">
        <v>30</v>
      </c>
      <c r="O20" s="68" t="s">
        <v>26</v>
      </c>
      <c r="P20" s="69" t="s">
        <v>25</v>
      </c>
      <c r="Q20" s="59" t="s">
        <v>17</v>
      </c>
      <c r="U20" s="70" t="s">
        <v>1</v>
      </c>
    </row>
    <row r="21" spans="1:30" s="48" customFormat="1" ht="12.95" customHeight="1" x14ac:dyDescent="0.2">
      <c r="A21" s="48" t="s">
        <v>32</v>
      </c>
      <c r="C21" s="71">
        <v>42926.447</v>
      </c>
      <c r="D21" s="71"/>
      <c r="E21" s="48">
        <f t="shared" ref="E21:E34" si="0">+(C21-C$7)/C$8</f>
        <v>-4119.4931024993366</v>
      </c>
      <c r="F21" s="48">
        <f t="shared" ref="F21:F34" si="1">ROUND(2*E21,0)/2</f>
        <v>-4119.5</v>
      </c>
      <c r="G21" s="48">
        <f t="shared" ref="G21:G34" si="2">+C21-(C$7+F21*C$8)</f>
        <v>2.5315000020782463E-3</v>
      </c>
      <c r="I21" s="48">
        <f>+G21</f>
        <v>2.5315000020782463E-3</v>
      </c>
      <c r="O21" s="48">
        <f t="shared" ref="O21:O34" ca="1" si="3">+C$11+C$12*F21</f>
        <v>1.6199754586510146E-2</v>
      </c>
      <c r="Q21" s="72">
        <f t="shared" ref="Q21:Q34" si="4">+C21-15018.5</f>
        <v>27907.947</v>
      </c>
      <c r="AA21" s="48">
        <v>8</v>
      </c>
      <c r="AB21" s="48" t="s">
        <v>31</v>
      </c>
      <c r="AD21" s="48" t="s">
        <v>33</v>
      </c>
    </row>
    <row r="22" spans="1:30" s="48" customFormat="1" ht="12.95" customHeight="1" x14ac:dyDescent="0.2">
      <c r="A22" s="48" t="s">
        <v>32</v>
      </c>
      <c r="C22" s="71">
        <v>42957.472000000002</v>
      </c>
      <c r="D22" s="71"/>
      <c r="E22" s="48">
        <f t="shared" si="0"/>
        <v>-4034.9602334496703</v>
      </c>
      <c r="F22" s="48">
        <f t="shared" si="1"/>
        <v>-4035</v>
      </c>
      <c r="G22" s="48">
        <f t="shared" si="2"/>
        <v>1.4595000000554137E-2</v>
      </c>
      <c r="I22" s="48">
        <f>+G22</f>
        <v>1.4595000000554137E-2</v>
      </c>
      <c r="O22" s="48">
        <f t="shared" ca="1" si="3"/>
        <v>1.6158760855595877E-2</v>
      </c>
      <c r="Q22" s="72">
        <f t="shared" si="4"/>
        <v>27938.972000000002</v>
      </c>
      <c r="AA22" s="48">
        <v>6</v>
      </c>
      <c r="AB22" s="48" t="s">
        <v>31</v>
      </c>
      <c r="AD22" s="48" t="s">
        <v>33</v>
      </c>
    </row>
    <row r="23" spans="1:30" s="48" customFormat="1" ht="12.95" customHeight="1" x14ac:dyDescent="0.2">
      <c r="A23" s="48" t="s">
        <v>14</v>
      </c>
      <c r="C23" s="71">
        <v>44438.370999999999</v>
      </c>
      <c r="D23" s="71" t="s">
        <v>16</v>
      </c>
      <c r="E23" s="48">
        <f t="shared" si="0"/>
        <v>0</v>
      </c>
      <c r="F23" s="48">
        <f t="shared" si="1"/>
        <v>0</v>
      </c>
      <c r="G23" s="48">
        <f t="shared" si="2"/>
        <v>0</v>
      </c>
      <c r="I23" s="48">
        <f>+G23</f>
        <v>0</v>
      </c>
      <c r="O23" s="48">
        <f t="shared" ca="1" si="3"/>
        <v>1.4201249562825728E-2</v>
      </c>
      <c r="Q23" s="72">
        <f t="shared" si="4"/>
        <v>29419.870999999999</v>
      </c>
    </row>
    <row r="24" spans="1:30" s="48" customFormat="1" ht="12.95" customHeight="1" x14ac:dyDescent="0.2">
      <c r="A24" s="73" t="s">
        <v>70</v>
      </c>
      <c r="B24" s="74" t="s">
        <v>38</v>
      </c>
      <c r="C24" s="75">
        <v>52082.428999999996</v>
      </c>
      <c r="D24" s="76"/>
      <c r="E24" s="48">
        <f t="shared" si="0"/>
        <v>20827.531149783244</v>
      </c>
      <c r="F24" s="48">
        <f t="shared" si="1"/>
        <v>20827.5</v>
      </c>
      <c r="G24" s="48">
        <f t="shared" si="2"/>
        <v>1.1432499995862599E-2</v>
      </c>
      <c r="I24" s="48">
        <f>+G24</f>
        <v>1.1432499995862599E-2</v>
      </c>
      <c r="O24" s="48">
        <f t="shared" ca="1" si="3"/>
        <v>4.0971438750511818E-3</v>
      </c>
      <c r="Q24" s="72">
        <f t="shared" si="4"/>
        <v>37063.928999999996</v>
      </c>
    </row>
    <row r="25" spans="1:30" s="48" customFormat="1" ht="12.95" customHeight="1" x14ac:dyDescent="0.2">
      <c r="A25" s="77" t="s">
        <v>37</v>
      </c>
      <c r="B25" s="78" t="s">
        <v>38</v>
      </c>
      <c r="C25" s="79">
        <v>52526.344799999999</v>
      </c>
      <c r="D25" s="79">
        <v>1E-3</v>
      </c>
      <c r="E25" s="48">
        <f t="shared" si="0"/>
        <v>22037.054959307061</v>
      </c>
      <c r="F25" s="48">
        <f t="shared" si="1"/>
        <v>22037</v>
      </c>
      <c r="G25" s="48">
        <f t="shared" si="2"/>
        <v>2.017100000375649E-2</v>
      </c>
      <c r="K25" s="48">
        <f>+G25</f>
        <v>2.017100000375649E-2</v>
      </c>
      <c r="O25" s="48">
        <f t="shared" ca="1" si="3"/>
        <v>3.5103756201303633E-3</v>
      </c>
      <c r="Q25" s="72">
        <f t="shared" si="4"/>
        <v>37507.844799999999</v>
      </c>
      <c r="R25" s="48" t="s">
        <v>102</v>
      </c>
    </row>
    <row r="26" spans="1:30" s="48" customFormat="1" ht="12.95" customHeight="1" x14ac:dyDescent="0.2">
      <c r="A26" s="77" t="s">
        <v>47</v>
      </c>
      <c r="B26" s="80"/>
      <c r="C26" s="79">
        <v>53861.356299999999</v>
      </c>
      <c r="D26" s="79">
        <v>2.8999999999999998E-3</v>
      </c>
      <c r="E26" s="48">
        <f t="shared" si="0"/>
        <v>25674.519981363264</v>
      </c>
      <c r="F26" s="48">
        <f t="shared" si="1"/>
        <v>25674.5</v>
      </c>
      <c r="G26" s="48">
        <f t="shared" si="2"/>
        <v>7.3335000051883981E-3</v>
      </c>
      <c r="J26" s="48">
        <f>+G26</f>
        <v>7.3335000051883981E-3</v>
      </c>
      <c r="O26" s="48">
        <f t="shared" ca="1" si="3"/>
        <v>1.7457046591758604E-3</v>
      </c>
      <c r="Q26" s="72">
        <f t="shared" si="4"/>
        <v>38842.856299999999</v>
      </c>
      <c r="R26" s="48" t="s">
        <v>57</v>
      </c>
    </row>
    <row r="27" spans="1:30" s="48" customFormat="1" ht="12.95" customHeight="1" x14ac:dyDescent="0.2">
      <c r="A27" s="77" t="s">
        <v>47</v>
      </c>
      <c r="B27" s="80"/>
      <c r="C27" s="79">
        <v>53861.5461</v>
      </c>
      <c r="D27" s="79">
        <v>1.6000000000000001E-3</v>
      </c>
      <c r="E27" s="48">
        <f t="shared" si="0"/>
        <v>25675.037123620979</v>
      </c>
      <c r="F27" s="48">
        <f t="shared" si="1"/>
        <v>25675</v>
      </c>
      <c r="G27" s="48">
        <f t="shared" si="2"/>
        <v>1.3624999999592546E-2</v>
      </c>
      <c r="J27" s="48">
        <f>+G27</f>
        <v>1.3624999999592546E-2</v>
      </c>
      <c r="O27" s="48">
        <f t="shared" ca="1" si="3"/>
        <v>1.7454620927207475E-3</v>
      </c>
      <c r="Q27" s="72">
        <f t="shared" si="4"/>
        <v>38843.0461</v>
      </c>
      <c r="R27" s="48" t="s">
        <v>57</v>
      </c>
    </row>
    <row r="28" spans="1:30" s="48" customFormat="1" ht="12.95" customHeight="1" x14ac:dyDescent="0.2">
      <c r="A28" s="81" t="s">
        <v>52</v>
      </c>
      <c r="B28" s="47" t="s">
        <v>38</v>
      </c>
      <c r="C28" s="46">
        <v>54955.423349999997</v>
      </c>
      <c r="D28" s="46">
        <v>0.02</v>
      </c>
      <c r="E28" s="81">
        <f t="shared" si="0"/>
        <v>28655.491026301232</v>
      </c>
      <c r="F28" s="48">
        <f t="shared" si="1"/>
        <v>28655.5</v>
      </c>
      <c r="G28" s="48">
        <f t="shared" si="2"/>
        <v>-3.2935000053839758E-3</v>
      </c>
      <c r="K28" s="48">
        <f>+G28</f>
        <v>-3.2935000053839758E-3</v>
      </c>
      <c r="O28" s="48">
        <f t="shared" ca="1" si="3"/>
        <v>2.9952345378606721E-4</v>
      </c>
      <c r="Q28" s="72">
        <f t="shared" si="4"/>
        <v>39936.923349999997</v>
      </c>
      <c r="R28" s="48" t="s">
        <v>103</v>
      </c>
      <c r="U28" s="58"/>
    </row>
    <row r="29" spans="1:30" s="48" customFormat="1" ht="12.95" customHeight="1" x14ac:dyDescent="0.2">
      <c r="A29" s="81" t="s">
        <v>52</v>
      </c>
      <c r="B29" s="47" t="s">
        <v>38</v>
      </c>
      <c r="C29" s="46">
        <v>54968.353190000002</v>
      </c>
      <c r="D29" s="46">
        <v>0.05</v>
      </c>
      <c r="E29" s="81">
        <f t="shared" si="0"/>
        <v>28690.720566077329</v>
      </c>
      <c r="F29" s="48">
        <f t="shared" si="1"/>
        <v>28690.5</v>
      </c>
      <c r="G29" s="48">
        <f t="shared" si="2"/>
        <v>8.0951500007358845E-2</v>
      </c>
      <c r="K29" s="48">
        <f>+G29</f>
        <v>8.0951500007358845E-2</v>
      </c>
      <c r="O29" s="48">
        <f t="shared" ca="1" si="3"/>
        <v>2.8254380192808612E-4</v>
      </c>
      <c r="Q29" s="72">
        <f t="shared" si="4"/>
        <v>39949.853190000002</v>
      </c>
      <c r="R29" s="48" t="s">
        <v>103</v>
      </c>
      <c r="U29" s="58"/>
    </row>
    <row r="30" spans="1:30" s="48" customFormat="1" ht="12.95" customHeight="1" x14ac:dyDescent="0.2">
      <c r="A30" s="46" t="s">
        <v>48</v>
      </c>
      <c r="B30" s="47" t="s">
        <v>38</v>
      </c>
      <c r="C30" s="46">
        <v>55333.838100000001</v>
      </c>
      <c r="D30" s="46">
        <v>4.0000000000000002E-4</v>
      </c>
      <c r="E30" s="81">
        <f t="shared" si="0"/>
        <v>29686.546127291112</v>
      </c>
      <c r="F30" s="48">
        <f t="shared" si="1"/>
        <v>29686.5</v>
      </c>
      <c r="G30" s="48">
        <f t="shared" si="2"/>
        <v>1.6929500001424458E-2</v>
      </c>
      <c r="K30" s="48">
        <f>+G30</f>
        <v>1.6929500001424458E-2</v>
      </c>
      <c r="O30" s="48">
        <f t="shared" ca="1" si="3"/>
        <v>-2.0064857665904462E-4</v>
      </c>
      <c r="Q30" s="72">
        <f t="shared" si="4"/>
        <v>40315.338100000001</v>
      </c>
      <c r="R30" s="48" t="s">
        <v>55</v>
      </c>
    </row>
    <row r="31" spans="1:30" s="48" customFormat="1" ht="12.95" customHeight="1" x14ac:dyDescent="0.2">
      <c r="A31" s="46" t="s">
        <v>101</v>
      </c>
      <c r="B31" s="47"/>
      <c r="C31" s="46">
        <v>56797.476900000001</v>
      </c>
      <c r="D31" s="46">
        <v>3.5000000000000001E-3</v>
      </c>
      <c r="E31" s="81">
        <f t="shared" si="0"/>
        <v>33674.478021454051</v>
      </c>
      <c r="F31" s="48">
        <f t="shared" si="1"/>
        <v>33674.5</v>
      </c>
      <c r="G31" s="48">
        <f t="shared" si="2"/>
        <v>-8.0664999986765906E-3</v>
      </c>
      <c r="J31" s="48">
        <f>+G31</f>
        <v>-8.0664999986765906E-3</v>
      </c>
      <c r="O31" s="48">
        <f t="shared" ca="1" si="3"/>
        <v>-2.1353586226484766E-3</v>
      </c>
      <c r="Q31" s="72">
        <f t="shared" si="4"/>
        <v>41778.976900000001</v>
      </c>
      <c r="R31" s="48" t="s">
        <v>57</v>
      </c>
    </row>
    <row r="32" spans="1:30" s="48" customFormat="1" ht="12.95" customHeight="1" x14ac:dyDescent="0.2">
      <c r="A32" s="46" t="s">
        <v>101</v>
      </c>
      <c r="B32" s="47"/>
      <c r="C32" s="46">
        <v>57122.452100000002</v>
      </c>
      <c r="D32" s="46">
        <v>2.9999999999999997E-4</v>
      </c>
      <c r="E32" s="81">
        <f t="shared" si="0"/>
        <v>34559.928014233687</v>
      </c>
      <c r="F32" s="48">
        <f t="shared" si="1"/>
        <v>34560</v>
      </c>
      <c r="G32" s="48">
        <f t="shared" si="2"/>
        <v>-2.6419999994686805E-2</v>
      </c>
      <c r="J32" s="48">
        <f>+G32</f>
        <v>-2.6419999994686805E-2</v>
      </c>
      <c r="O32" s="48">
        <f t="shared" ca="1" si="3"/>
        <v>-2.5649438146554075E-3</v>
      </c>
      <c r="Q32" s="72">
        <f t="shared" si="4"/>
        <v>42103.952100000002</v>
      </c>
      <c r="R32" s="48" t="s">
        <v>57</v>
      </c>
    </row>
    <row r="33" spans="1:18" s="48" customFormat="1" ht="12.95" customHeight="1" x14ac:dyDescent="0.2">
      <c r="A33" s="46" t="s">
        <v>101</v>
      </c>
      <c r="B33" s="47"/>
      <c r="C33" s="46">
        <v>57144.864300000001</v>
      </c>
      <c r="D33" s="46">
        <v>2.9999999999999997E-4</v>
      </c>
      <c r="E33" s="81">
        <f t="shared" si="0"/>
        <v>34620.993850421102</v>
      </c>
      <c r="F33" s="48">
        <f t="shared" si="1"/>
        <v>34621</v>
      </c>
      <c r="G33" s="48">
        <f t="shared" si="2"/>
        <v>-2.2570000000996515E-3</v>
      </c>
      <c r="J33" s="48">
        <f>+G33</f>
        <v>-2.2570000000996515E-3</v>
      </c>
      <c r="O33" s="48">
        <f t="shared" ca="1" si="3"/>
        <v>-2.5945369221793187E-3</v>
      </c>
      <c r="Q33" s="72">
        <f t="shared" si="4"/>
        <v>42126.364300000001</v>
      </c>
      <c r="R33" s="48" t="s">
        <v>57</v>
      </c>
    </row>
    <row r="34" spans="1:18" s="48" customFormat="1" ht="12.95" customHeight="1" x14ac:dyDescent="0.2">
      <c r="A34" s="82" t="s">
        <v>0</v>
      </c>
      <c r="B34" s="83" t="s">
        <v>38</v>
      </c>
      <c r="C34" s="84">
        <v>57527.585400000004</v>
      </c>
      <c r="D34" s="84">
        <v>1E-4</v>
      </c>
      <c r="E34" s="81">
        <f t="shared" si="0"/>
        <v>35663.782331608629</v>
      </c>
      <c r="F34" s="48">
        <f t="shared" si="1"/>
        <v>35664</v>
      </c>
      <c r="G34" s="48">
        <f t="shared" si="2"/>
        <v>-7.9887999992934056E-2</v>
      </c>
      <c r="K34" s="48">
        <f>+G34</f>
        <v>-7.9887999992934056E-2</v>
      </c>
      <c r="O34" s="48">
        <f t="shared" ca="1" si="3"/>
        <v>-3.1005305475471662E-3</v>
      </c>
      <c r="Q34" s="72">
        <f t="shared" si="4"/>
        <v>42509.085400000004</v>
      </c>
      <c r="R34" s="48" t="s">
        <v>55</v>
      </c>
    </row>
    <row r="35" spans="1:18" s="48" customFormat="1" ht="12.95" customHeight="1" x14ac:dyDescent="0.2">
      <c r="C35" s="76"/>
      <c r="D35" s="76"/>
    </row>
    <row r="36" spans="1:18" s="48" customFormat="1" ht="12.95" customHeight="1" x14ac:dyDescent="0.2">
      <c r="C36" s="76"/>
      <c r="D36" s="76"/>
    </row>
    <row r="37" spans="1:18" s="48" customFormat="1" ht="12.95" customHeight="1" x14ac:dyDescent="0.2">
      <c r="C37" s="76"/>
      <c r="D37" s="76"/>
    </row>
    <row r="38" spans="1:18" s="48" customFormat="1" ht="12.95" customHeight="1" x14ac:dyDescent="0.2">
      <c r="C38" s="76"/>
      <c r="D38" s="76"/>
    </row>
    <row r="39" spans="1:18" s="48" customFormat="1" ht="12.95" customHeight="1" x14ac:dyDescent="0.2">
      <c r="C39" s="76"/>
      <c r="D39" s="76"/>
    </row>
    <row r="40" spans="1:18" x14ac:dyDescent="0.2">
      <c r="C40" s="13"/>
      <c r="D40" s="13"/>
    </row>
    <row r="41" spans="1:18" x14ac:dyDescent="0.2">
      <c r="C41" s="13"/>
      <c r="D41" s="13"/>
    </row>
    <row r="42" spans="1:18" x14ac:dyDescent="0.2">
      <c r="C42" s="13"/>
      <c r="D42" s="13"/>
    </row>
    <row r="43" spans="1:18" x14ac:dyDescent="0.2">
      <c r="C43" s="13"/>
      <c r="D43" s="13"/>
    </row>
    <row r="44" spans="1:18" x14ac:dyDescent="0.2">
      <c r="C44" s="13"/>
      <c r="D44" s="13"/>
    </row>
    <row r="45" spans="1:18" x14ac:dyDescent="0.2">
      <c r="C45" s="13"/>
      <c r="D45" s="13"/>
    </row>
    <row r="46" spans="1:18" x14ac:dyDescent="0.2">
      <c r="C46" s="13"/>
      <c r="D46" s="13"/>
    </row>
    <row r="47" spans="1:18" x14ac:dyDescent="0.2">
      <c r="C47" s="13"/>
      <c r="D47" s="13"/>
    </row>
    <row r="48" spans="1:18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</sheetData>
  <phoneticPr fontId="8" type="noConversion"/>
  <hyperlinks>
    <hyperlink ref="H63781" r:id="rId1" display="http://vsolj.cetus-net.org/bulletin.html"/>
    <hyperlink ref="H63774" r:id="rId2" display="https://www.aavso.org/ejaavso"/>
    <hyperlink ref="I63781" r:id="rId3" display="http://vsolj.cetus-net.org/bulletin.html"/>
    <hyperlink ref="AQ57432" r:id="rId4" display="http://cdsbib.u-strasbg.fr/cgi-bin/cdsbib?1990RMxAA..21..381G"/>
    <hyperlink ref="H63778" r:id="rId5" display="https://www.aavso.org/ejaavso"/>
    <hyperlink ref="AP4796" r:id="rId6" display="http://cdsbib.u-strasbg.fr/cgi-bin/cdsbib?1990RMxAA..21..381G"/>
    <hyperlink ref="AP4799" r:id="rId7" display="http://cdsbib.u-strasbg.fr/cgi-bin/cdsbib?1990RMxAA..21..381G"/>
    <hyperlink ref="AP4797" r:id="rId8" display="http://cdsbib.u-strasbg.fr/cgi-bin/cdsbib?1990RMxAA..21..381G"/>
    <hyperlink ref="AP4781" r:id="rId9" display="http://cdsbib.u-strasbg.fr/cgi-bin/cdsbib?1990RMxAA..21..381G"/>
    <hyperlink ref="AQ5010" r:id="rId10" display="http://cdsbib.u-strasbg.fr/cgi-bin/cdsbib?1990RMxAA..21..381G"/>
    <hyperlink ref="AQ5014" r:id="rId11" display="http://cdsbib.u-strasbg.fr/cgi-bin/cdsbib?1990RMxAA..21..381G"/>
    <hyperlink ref="AQ64694" r:id="rId12" display="http://cdsbib.u-strasbg.fr/cgi-bin/cdsbib?1990RMxAA..21..381G"/>
    <hyperlink ref="I1902" r:id="rId13" display="http://vsolj.cetus-net.org/bulletin.html"/>
    <hyperlink ref="H1902" r:id="rId14" display="http://vsolj.cetus-net.org/bulletin.html"/>
    <hyperlink ref="AQ65355" r:id="rId15" display="http://cdsbib.u-strasbg.fr/cgi-bin/cdsbib?1990RMxAA..21..381G"/>
    <hyperlink ref="AQ65354" r:id="rId16" display="http://cdsbib.u-strasbg.fr/cgi-bin/cdsbib?1990RMxAA..21..381G"/>
    <hyperlink ref="AP3072" r:id="rId17" display="http://cdsbib.u-strasbg.fr/cgi-bin/cdsbib?1990RMxAA..21..381G"/>
    <hyperlink ref="AP3090" r:id="rId18" display="http://cdsbib.u-strasbg.fr/cgi-bin/cdsbib?1990RMxAA..21..381G"/>
    <hyperlink ref="AP3091" r:id="rId19" display="http://cdsbib.u-strasbg.fr/cgi-bin/cdsbib?1990RMxAA..21..381G"/>
    <hyperlink ref="AP3087" r:id="rId20" display="http://cdsbib.u-strasbg.fr/cgi-bin/cdsbib?1990RMxAA..21..381G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workbookViewId="0">
      <selection activeCell="R25" sqref="R2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40</v>
      </c>
    </row>
    <row r="2" spans="1:5" x14ac:dyDescent="0.2">
      <c r="A2" t="s">
        <v>27</v>
      </c>
      <c r="B2" s="9" t="s">
        <v>36</v>
      </c>
    </row>
    <row r="4" spans="1:5" x14ac:dyDescent="0.2">
      <c r="A4" s="6" t="s">
        <v>2</v>
      </c>
      <c r="C4" s="3">
        <v>44438.370999999999</v>
      </c>
      <c r="D4" s="4">
        <v>0.86198490000000005</v>
      </c>
    </row>
    <row r="6" spans="1:5" x14ac:dyDescent="0.2">
      <c r="A6" s="6" t="s">
        <v>3</v>
      </c>
    </row>
    <row r="7" spans="1:5" x14ac:dyDescent="0.2">
      <c r="A7" t="s">
        <v>4</v>
      </c>
      <c r="C7">
        <f>+C4</f>
        <v>44438.370999999999</v>
      </c>
    </row>
    <row r="8" spans="1:5" x14ac:dyDescent="0.2">
      <c r="A8" t="s">
        <v>5</v>
      </c>
      <c r="C8">
        <f>+D4</f>
        <v>0.86198490000000005</v>
      </c>
    </row>
    <row r="9" spans="1:5" x14ac:dyDescent="0.2">
      <c r="A9" s="15" t="s">
        <v>41</v>
      </c>
      <c r="B9" s="16"/>
      <c r="C9" s="17">
        <v>8</v>
      </c>
      <c r="D9" s="16" t="s">
        <v>42</v>
      </c>
      <c r="E9" s="16"/>
    </row>
    <row r="10" spans="1:5" ht="13.5" thickBot="1" x14ac:dyDescent="0.25">
      <c r="A10" s="16"/>
      <c r="B10" s="16"/>
      <c r="C10" s="5" t="s">
        <v>23</v>
      </c>
      <c r="D10" s="5" t="s">
        <v>24</v>
      </c>
      <c r="E10" s="16"/>
    </row>
    <row r="11" spans="1:5" x14ac:dyDescent="0.2">
      <c r="A11" s="16" t="s">
        <v>18</v>
      </c>
      <c r="B11" s="16"/>
      <c r="C11" s="16">
        <f>INTERCEPT(G21:G998,F21:F998)</f>
        <v>-7.3319258602758189E-3</v>
      </c>
      <c r="D11" s="18"/>
      <c r="E11" s="16"/>
    </row>
    <row r="12" spans="1:5" x14ac:dyDescent="0.2">
      <c r="A12" s="16" t="s">
        <v>19</v>
      </c>
      <c r="B12" s="16"/>
      <c r="C12" s="16">
        <f>SLOPE(G21:G998,F21:F998)</f>
        <v>-2.1644725718679097E-6</v>
      </c>
      <c r="D12" s="18"/>
      <c r="E12" s="16"/>
    </row>
    <row r="13" spans="1:5" x14ac:dyDescent="0.2">
      <c r="A13" s="16" t="s">
        <v>22</v>
      </c>
      <c r="B13" s="16"/>
      <c r="C13" s="18" t="s">
        <v>16</v>
      </c>
      <c r="D13" s="18"/>
      <c r="E13" s="16"/>
    </row>
    <row r="14" spans="1:5" x14ac:dyDescent="0.2">
      <c r="A14" s="16"/>
      <c r="B14" s="16"/>
      <c r="C14" s="16"/>
      <c r="D14" s="16"/>
      <c r="E14" s="16"/>
    </row>
    <row r="15" spans="1:5" x14ac:dyDescent="0.2">
      <c r="A15" s="19" t="s">
        <v>20</v>
      </c>
      <c r="B15" s="16"/>
      <c r="C15" s="20">
        <f>(C7+C11)+(C8+C12)*INT(MAX(F21:F3533))</f>
        <v>55333.825445140828</v>
      </c>
      <c r="D15" s="21" t="s">
        <v>43</v>
      </c>
      <c r="E15" s="22">
        <f ca="1">TODAY()+15018.5-B9/24</f>
        <v>60359.5</v>
      </c>
    </row>
    <row r="16" spans="1:5" x14ac:dyDescent="0.2">
      <c r="A16" s="23" t="s">
        <v>6</v>
      </c>
      <c r="B16" s="16"/>
      <c r="C16" s="24">
        <f>+C8+C12</f>
        <v>0.86198273552742821</v>
      </c>
      <c r="D16" s="21" t="s">
        <v>44</v>
      </c>
      <c r="E16" s="22">
        <f ca="1">ROUND(2*(E15-C15)/C16,0)/2+1</f>
        <v>5831.5</v>
      </c>
    </row>
    <row r="17" spans="1:30" ht="13.5" thickBot="1" x14ac:dyDescent="0.25">
      <c r="A17" s="21" t="s">
        <v>35</v>
      </c>
      <c r="B17" s="16"/>
      <c r="C17" s="16">
        <f>COUNT(C21:C2191)</f>
        <v>7</v>
      </c>
      <c r="D17" s="21" t="s">
        <v>45</v>
      </c>
      <c r="E17" s="25">
        <f ca="1">+C15+C16*E16-15018.5-C9/24</f>
        <v>45341.64443403569</v>
      </c>
    </row>
    <row r="18" spans="1:30" x14ac:dyDescent="0.2">
      <c r="A18" s="23" t="s">
        <v>7</v>
      </c>
      <c r="B18" s="16"/>
      <c r="C18" s="26">
        <f>+C15</f>
        <v>55333.825445140828</v>
      </c>
      <c r="D18" s="27">
        <f>+C16</f>
        <v>0.86198273552742821</v>
      </c>
      <c r="E18" s="28" t="s">
        <v>46</v>
      </c>
    </row>
    <row r="19" spans="1:30" ht="13.5" thickTop="1" x14ac:dyDescent="0.2">
      <c r="R19">
        <f>SUM(R21:R27)</f>
        <v>4.1634839169904953E-4</v>
      </c>
    </row>
    <row r="20" spans="1:30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14</v>
      </c>
      <c r="I20" s="8" t="s">
        <v>34</v>
      </c>
      <c r="J20" s="8" t="s">
        <v>39</v>
      </c>
      <c r="K20" s="8" t="s">
        <v>21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17</v>
      </c>
    </row>
    <row r="21" spans="1:30" x14ac:dyDescent="0.2">
      <c r="A21" t="s">
        <v>32</v>
      </c>
      <c r="C21" s="14">
        <v>42926.447</v>
      </c>
      <c r="D21" s="14"/>
      <c r="E21">
        <f t="shared" ref="E21:E26" si="0">+(C21-C$7)/C$8</f>
        <v>-1754.0028833451711</v>
      </c>
      <c r="F21">
        <f t="shared" ref="F21:F27" si="1">ROUND(2*E21,0)/2</f>
        <v>-1754</v>
      </c>
      <c r="G21">
        <f>+C21-(C$7+F21*C$8)</f>
        <v>-2.4854000002960674E-3</v>
      </c>
      <c r="I21">
        <f>+G21</f>
        <v>-2.4854000002960674E-3</v>
      </c>
      <c r="O21">
        <f t="shared" ref="O21:O26" si="2">+C$11+C$12*F21</f>
        <v>-3.5354409692195054E-3</v>
      </c>
      <c r="Q21" s="2">
        <f t="shared" ref="Q21:Q26" si="3">+C21-15018.5</f>
        <v>27907.947</v>
      </c>
      <c r="R21">
        <f>(O21-G21)^2</f>
        <v>1.1025860364176724E-6</v>
      </c>
      <c r="AA21">
        <v>8</v>
      </c>
      <c r="AB21" t="s">
        <v>31</v>
      </c>
      <c r="AD21" t="s">
        <v>33</v>
      </c>
    </row>
    <row r="22" spans="1:30" x14ac:dyDescent="0.2">
      <c r="A22" t="s">
        <v>32</v>
      </c>
      <c r="C22" s="14">
        <v>42957.472000000002</v>
      </c>
      <c r="D22" s="14"/>
      <c r="E22">
        <f t="shared" si="0"/>
        <v>-1718.0103734995794</v>
      </c>
      <c r="F22">
        <f t="shared" si="1"/>
        <v>-1718</v>
      </c>
      <c r="G22">
        <f>+C22-(C$7+F22*C$8)</f>
        <v>-8.9417999988654628E-3</v>
      </c>
      <c r="I22">
        <f>+G22</f>
        <v>-8.9417999988654628E-3</v>
      </c>
      <c r="O22">
        <f t="shared" si="2"/>
        <v>-3.6133619818067499E-3</v>
      </c>
      <c r="Q22" s="2">
        <f t="shared" si="3"/>
        <v>27938.972000000002</v>
      </c>
      <c r="R22">
        <f t="shared" ref="R22:R27" si="4">(O22-G22)^2</f>
        <v>2.8392251701636593E-5</v>
      </c>
      <c r="AA22">
        <v>6</v>
      </c>
      <c r="AB22" t="s">
        <v>31</v>
      </c>
      <c r="AD22" t="s">
        <v>33</v>
      </c>
    </row>
    <row r="23" spans="1:30" x14ac:dyDescent="0.2">
      <c r="A23" t="s">
        <v>14</v>
      </c>
      <c r="C23" s="14">
        <v>44438.370999999999</v>
      </c>
      <c r="D23" s="14" t="s">
        <v>16</v>
      </c>
      <c r="E23">
        <f t="shared" si="0"/>
        <v>0</v>
      </c>
      <c r="F23">
        <f t="shared" si="1"/>
        <v>0</v>
      </c>
      <c r="G23">
        <f>+C23-(C$7+F23*C$8)</f>
        <v>0</v>
      </c>
      <c r="H23">
        <f>+G23</f>
        <v>0</v>
      </c>
      <c r="O23">
        <f t="shared" si="2"/>
        <v>-7.3319258602758189E-3</v>
      </c>
      <c r="Q23" s="2">
        <f t="shared" si="3"/>
        <v>29419.870999999999</v>
      </c>
      <c r="R23">
        <f t="shared" si="4"/>
        <v>5.3757136820581307E-5</v>
      </c>
    </row>
    <row r="24" spans="1:30" x14ac:dyDescent="0.2">
      <c r="A24" s="10" t="s">
        <v>37</v>
      </c>
      <c r="B24" s="11" t="s">
        <v>38</v>
      </c>
      <c r="C24" s="12">
        <v>52526.344799999999</v>
      </c>
      <c r="D24" s="12">
        <v>1E-3</v>
      </c>
      <c r="E24">
        <f t="shared" si="0"/>
        <v>9382.9645971756581</v>
      </c>
      <c r="F24">
        <f t="shared" si="1"/>
        <v>9383</v>
      </c>
      <c r="G24">
        <f>+C24-(C$7+F24*C$8)</f>
        <v>-3.0516699996951502E-2</v>
      </c>
      <c r="J24">
        <f>+G24</f>
        <v>-3.0516699996951502E-2</v>
      </c>
      <c r="O24">
        <f t="shared" si="2"/>
        <v>-2.7641172002112416E-2</v>
      </c>
      <c r="Q24" s="2">
        <f t="shared" si="3"/>
        <v>37507.844799999999</v>
      </c>
      <c r="R24">
        <f t="shared" si="4"/>
        <v>8.2686612491032902E-6</v>
      </c>
    </row>
    <row r="25" spans="1:30" x14ac:dyDescent="0.2">
      <c r="A25" s="10" t="s">
        <v>47</v>
      </c>
      <c r="B25" s="29"/>
      <c r="C25" s="12">
        <v>53861.356299999999</v>
      </c>
      <c r="D25" s="12">
        <v>2.8999999999999998E-3</v>
      </c>
      <c r="E25">
        <f t="shared" si="0"/>
        <v>10931.728966481895</v>
      </c>
      <c r="F25">
        <f t="shared" si="1"/>
        <v>10931.5</v>
      </c>
      <c r="J25" s="30">
        <v>0.19736564999766415</v>
      </c>
      <c r="O25">
        <f t="shared" si="2"/>
        <v>-3.0992857779649875E-2</v>
      </c>
      <c r="Q25" s="2">
        <f t="shared" si="3"/>
        <v>38842.856299999999</v>
      </c>
    </row>
    <row r="26" spans="1:30" x14ac:dyDescent="0.2">
      <c r="A26" s="10" t="s">
        <v>47</v>
      </c>
      <c r="B26" s="29"/>
      <c r="C26" s="12">
        <v>53861.5461</v>
      </c>
      <c r="D26" s="12">
        <v>1.6000000000000001E-3</v>
      </c>
      <c r="E26">
        <f t="shared" si="0"/>
        <v>10931.949155953891</v>
      </c>
      <c r="F26">
        <f t="shared" si="1"/>
        <v>10932</v>
      </c>
      <c r="G26">
        <f>+C26-(C$7+F26*C$8)</f>
        <v>-4.3826799999806099E-2</v>
      </c>
      <c r="J26">
        <f>+G26</f>
        <v>-4.3826799999806099E-2</v>
      </c>
      <c r="O26">
        <f t="shared" si="2"/>
        <v>-3.0993940015935806E-2</v>
      </c>
      <c r="Q26" s="2">
        <f t="shared" si="3"/>
        <v>38843.0461</v>
      </c>
      <c r="R26">
        <f t="shared" si="4"/>
        <v>1.6468229536561945E-4</v>
      </c>
    </row>
    <row r="27" spans="1:30" x14ac:dyDescent="0.2">
      <c r="A27" s="31" t="s">
        <v>48</v>
      </c>
      <c r="B27" s="32" t="s">
        <v>38</v>
      </c>
      <c r="C27" s="31">
        <v>55333.838100000001</v>
      </c>
      <c r="D27" s="31">
        <v>4.0000000000000002E-4</v>
      </c>
      <c r="E27">
        <f>+(C27-C$7)/C$8</f>
        <v>12639.974435747077</v>
      </c>
      <c r="F27">
        <f t="shared" si="1"/>
        <v>12640</v>
      </c>
      <c r="G27">
        <f>+C27-(C$7+F27*C$8)</f>
        <v>-2.2036000002117362E-2</v>
      </c>
      <c r="J27">
        <f>+G27</f>
        <v>-2.2036000002117362E-2</v>
      </c>
      <c r="O27">
        <f>+C$11+C$12*F27</f>
        <v>-3.4690859168686194E-2</v>
      </c>
      <c r="Q27" s="2">
        <f>+C27-15018.5</f>
        <v>40315.338100000001</v>
      </c>
      <c r="R27">
        <f t="shared" si="4"/>
        <v>1.601454605256912E-4</v>
      </c>
    </row>
    <row r="28" spans="1:30" x14ac:dyDescent="0.2">
      <c r="C28" s="14"/>
      <c r="D28" s="14"/>
    </row>
    <row r="29" spans="1:30" x14ac:dyDescent="0.2">
      <c r="C29" s="14"/>
      <c r="D29" s="14"/>
    </row>
    <row r="30" spans="1:30" x14ac:dyDescent="0.2">
      <c r="C30" s="14"/>
      <c r="D30" s="14"/>
    </row>
    <row r="31" spans="1:30" x14ac:dyDescent="0.2">
      <c r="C31" s="14"/>
      <c r="D31" s="14"/>
    </row>
    <row r="32" spans="1:30" x14ac:dyDescent="0.2">
      <c r="C32" s="14"/>
      <c r="D32" s="14"/>
    </row>
    <row r="33" spans="3:4" x14ac:dyDescent="0.2">
      <c r="C33" s="13"/>
      <c r="D33" s="13"/>
    </row>
    <row r="34" spans="3:4" x14ac:dyDescent="0.2">
      <c r="C34" s="13"/>
      <c r="D34" s="13"/>
    </row>
    <row r="35" spans="3:4" x14ac:dyDescent="0.2">
      <c r="C35" s="13"/>
      <c r="D35" s="13"/>
    </row>
    <row r="36" spans="3:4" x14ac:dyDescent="0.2">
      <c r="C36" s="13"/>
      <c r="D36" s="13"/>
    </row>
    <row r="37" spans="3:4" x14ac:dyDescent="0.2">
      <c r="C37" s="13"/>
      <c r="D37" s="13"/>
    </row>
    <row r="38" spans="3:4" x14ac:dyDescent="0.2">
      <c r="C38" s="13"/>
      <c r="D38" s="13"/>
    </row>
    <row r="39" spans="3:4" x14ac:dyDescent="0.2">
      <c r="C39" s="13"/>
      <c r="D39" s="13"/>
    </row>
    <row r="40" spans="3:4" x14ac:dyDescent="0.2">
      <c r="C40" s="13"/>
      <c r="D40" s="13"/>
    </row>
    <row r="41" spans="3:4" x14ac:dyDescent="0.2">
      <c r="C41" s="13"/>
      <c r="D41" s="13"/>
    </row>
    <row r="42" spans="3:4" x14ac:dyDescent="0.2">
      <c r="C42" s="13"/>
      <c r="D42" s="13"/>
    </row>
    <row r="43" spans="3:4" x14ac:dyDescent="0.2">
      <c r="C43" s="13"/>
      <c r="D43" s="13"/>
    </row>
    <row r="44" spans="3:4" x14ac:dyDescent="0.2">
      <c r="C44" s="13"/>
      <c r="D44" s="13"/>
    </row>
    <row r="45" spans="3:4" x14ac:dyDescent="0.2">
      <c r="C45" s="13"/>
      <c r="D45" s="13"/>
    </row>
    <row r="46" spans="3:4" x14ac:dyDescent="0.2">
      <c r="C46" s="13"/>
      <c r="D46" s="13"/>
    </row>
    <row r="47" spans="3:4" x14ac:dyDescent="0.2">
      <c r="C47" s="13"/>
      <c r="D47" s="13"/>
    </row>
    <row r="48" spans="3:4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2"/>
  <sheetViews>
    <sheetView workbookViewId="0">
      <selection activeCell="A14" sqref="A14:C19"/>
    </sheetView>
  </sheetViews>
  <sheetFormatPr defaultRowHeight="12.75" x14ac:dyDescent="0.2"/>
  <cols>
    <col min="1" max="1" width="19.7109375" style="13" customWidth="1"/>
    <col min="2" max="2" width="4.42578125" style="16" customWidth="1"/>
    <col min="3" max="3" width="12.7109375" style="1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3" t="s">
        <v>53</v>
      </c>
      <c r="I1" s="34" t="s">
        <v>54</v>
      </c>
      <c r="J1" s="35" t="s">
        <v>55</v>
      </c>
    </row>
    <row r="2" spans="1:16" x14ac:dyDescent="0.2">
      <c r="I2" s="36" t="s">
        <v>56</v>
      </c>
      <c r="J2" s="37" t="s">
        <v>57</v>
      </c>
    </row>
    <row r="3" spans="1:16" x14ac:dyDescent="0.2">
      <c r="A3" s="38" t="s">
        <v>58</v>
      </c>
      <c r="I3" s="36" t="s">
        <v>59</v>
      </c>
      <c r="J3" s="37" t="s">
        <v>60</v>
      </c>
    </row>
    <row r="4" spans="1:16" x14ac:dyDescent="0.2">
      <c r="I4" s="36" t="s">
        <v>61</v>
      </c>
      <c r="J4" s="37" t="s">
        <v>60</v>
      </c>
    </row>
    <row r="5" spans="1:16" ht="13.5" thickBot="1" x14ac:dyDescent="0.25">
      <c r="I5" s="39" t="s">
        <v>62</v>
      </c>
      <c r="J5" s="40" t="s">
        <v>63</v>
      </c>
    </row>
    <row r="11" spans="1:16" ht="13.5" thickBot="1" x14ac:dyDescent="0.25"/>
    <row r="12" spans="1:16" ht="12.75" customHeight="1" thickBot="1" x14ac:dyDescent="0.25">
      <c r="A12" s="13" t="str">
        <f t="shared" ref="A12:A19" si="0">P12</f>
        <v> BBS 129 </v>
      </c>
      <c r="B12" s="18" t="str">
        <f t="shared" ref="B12:B19" si="1">IF(H12=INT(H12),"I","II")</f>
        <v>I</v>
      </c>
      <c r="C12" s="13">
        <f t="shared" ref="C12:C19" si="2">1*G12</f>
        <v>52526.344799999999</v>
      </c>
      <c r="D12" s="16" t="str">
        <f t="shared" ref="D12:D19" si="3">VLOOKUP(F12,I$1:J$5,2,FALSE)</f>
        <v>vis</v>
      </c>
      <c r="E12" s="41">
        <f>VLOOKUP(C12,Active!C$21:E$971,3,FALSE)</f>
        <v>22037.054959307061</v>
      </c>
      <c r="F12" s="18" t="s">
        <v>62</v>
      </c>
      <c r="G12" s="16" t="str">
        <f t="shared" ref="G12:G19" si="4">MID(I12,3,LEN(I12)-3)</f>
        <v>52526.3448</v>
      </c>
      <c r="H12" s="13">
        <f t="shared" ref="H12:H19" si="5">1*K12</f>
        <v>9383</v>
      </c>
      <c r="I12" s="42" t="s">
        <v>71</v>
      </c>
      <c r="J12" s="43" t="s">
        <v>72</v>
      </c>
      <c r="K12" s="42">
        <v>9383</v>
      </c>
      <c r="L12" s="42" t="s">
        <v>73</v>
      </c>
      <c r="M12" s="43" t="s">
        <v>67</v>
      </c>
      <c r="N12" s="43" t="s">
        <v>68</v>
      </c>
      <c r="O12" s="44" t="s">
        <v>74</v>
      </c>
      <c r="P12" s="44" t="s">
        <v>75</v>
      </c>
    </row>
    <row r="13" spans="1:16" ht="12.75" customHeight="1" thickBot="1" x14ac:dyDescent="0.25">
      <c r="A13" s="13" t="str">
        <f t="shared" si="0"/>
        <v>IBVS 5945 </v>
      </c>
      <c r="B13" s="18" t="str">
        <f t="shared" si="1"/>
        <v>I</v>
      </c>
      <c r="C13" s="13">
        <f t="shared" si="2"/>
        <v>55333.838100000001</v>
      </c>
      <c r="D13" s="16" t="str">
        <f t="shared" si="3"/>
        <v>vis</v>
      </c>
      <c r="E13" s="41">
        <f>VLOOKUP(C13,Active!C$21:E$971,3,FALSE)</f>
        <v>29686.546127291112</v>
      </c>
      <c r="F13" s="18" t="s">
        <v>62</v>
      </c>
      <c r="G13" s="16" t="str">
        <f t="shared" si="4"/>
        <v>55333.8381</v>
      </c>
      <c r="H13" s="13">
        <f t="shared" si="5"/>
        <v>12640</v>
      </c>
      <c r="I13" s="42" t="s">
        <v>85</v>
      </c>
      <c r="J13" s="43" t="s">
        <v>86</v>
      </c>
      <c r="K13" s="42">
        <v>12640</v>
      </c>
      <c r="L13" s="42" t="s">
        <v>87</v>
      </c>
      <c r="M13" s="43" t="s">
        <v>79</v>
      </c>
      <c r="N13" s="43" t="s">
        <v>62</v>
      </c>
      <c r="O13" s="44" t="s">
        <v>69</v>
      </c>
      <c r="P13" s="45" t="s">
        <v>88</v>
      </c>
    </row>
    <row r="14" spans="1:16" ht="12.75" customHeight="1" thickBot="1" x14ac:dyDescent="0.25">
      <c r="A14" s="13" t="str">
        <f t="shared" si="0"/>
        <v>OEJV 0137 </v>
      </c>
      <c r="B14" s="18" t="str">
        <f t="shared" si="1"/>
        <v>I</v>
      </c>
      <c r="C14" s="13">
        <f t="shared" si="2"/>
        <v>54955.423300000002</v>
      </c>
      <c r="D14" s="16" t="str">
        <f t="shared" si="3"/>
        <v>vis</v>
      </c>
      <c r="E14" s="41" t="e">
        <f>VLOOKUP(C14,Active!C$21:E$971,3,FALSE)</f>
        <v>#N/A</v>
      </c>
      <c r="F14" s="18" t="s">
        <v>62</v>
      </c>
      <c r="G14" s="16" t="str">
        <f t="shared" si="4"/>
        <v>54955.4233</v>
      </c>
      <c r="H14" s="13">
        <f t="shared" si="5"/>
        <v>12201</v>
      </c>
      <c r="I14" s="42" t="s">
        <v>76</v>
      </c>
      <c r="J14" s="43" t="s">
        <v>77</v>
      </c>
      <c r="K14" s="42">
        <v>12201</v>
      </c>
      <c r="L14" s="42" t="s">
        <v>78</v>
      </c>
      <c r="M14" s="43" t="s">
        <v>79</v>
      </c>
      <c r="N14" s="43" t="s">
        <v>54</v>
      </c>
      <c r="O14" s="44" t="s">
        <v>80</v>
      </c>
      <c r="P14" s="45" t="s">
        <v>81</v>
      </c>
    </row>
    <row r="15" spans="1:16" ht="12.75" customHeight="1" thickBot="1" x14ac:dyDescent="0.25">
      <c r="A15" s="13" t="str">
        <f t="shared" si="0"/>
        <v>OEJV 0137 </v>
      </c>
      <c r="B15" s="18" t="str">
        <f t="shared" si="1"/>
        <v>I</v>
      </c>
      <c r="C15" s="13">
        <f t="shared" si="2"/>
        <v>54968.3531</v>
      </c>
      <c r="D15" s="16" t="str">
        <f t="shared" si="3"/>
        <v>vis</v>
      </c>
      <c r="E15" s="41" t="e">
        <f>VLOOKUP(C15,Active!C$21:E$971,3,FALSE)</f>
        <v>#N/A</v>
      </c>
      <c r="F15" s="18" t="s">
        <v>62</v>
      </c>
      <c r="G15" s="16" t="str">
        <f t="shared" si="4"/>
        <v>54968.3531</v>
      </c>
      <c r="H15" s="13">
        <f t="shared" si="5"/>
        <v>12216</v>
      </c>
      <c r="I15" s="42" t="s">
        <v>82</v>
      </c>
      <c r="J15" s="43" t="s">
        <v>83</v>
      </c>
      <c r="K15" s="42">
        <v>12216</v>
      </c>
      <c r="L15" s="42" t="s">
        <v>84</v>
      </c>
      <c r="M15" s="43" t="s">
        <v>79</v>
      </c>
      <c r="N15" s="43" t="s">
        <v>54</v>
      </c>
      <c r="O15" s="44" t="s">
        <v>80</v>
      </c>
      <c r="P15" s="45" t="s">
        <v>81</v>
      </c>
    </row>
    <row r="16" spans="1:16" ht="12.75" customHeight="1" thickBot="1" x14ac:dyDescent="0.25">
      <c r="A16" s="13" t="str">
        <f t="shared" si="0"/>
        <v>BAVM 241 (=IBVS 6157) </v>
      </c>
      <c r="B16" s="18" t="str">
        <f t="shared" si="1"/>
        <v>I</v>
      </c>
      <c r="C16" s="13">
        <f t="shared" si="2"/>
        <v>56797.476900000001</v>
      </c>
      <c r="D16" s="16" t="str">
        <f t="shared" si="3"/>
        <v>vis</v>
      </c>
      <c r="E16" s="41">
        <f>VLOOKUP(C16,Active!C$21:E$971,3,FALSE)</f>
        <v>33674.478021454051</v>
      </c>
      <c r="F16" s="18" t="s">
        <v>62</v>
      </c>
      <c r="G16" s="16" t="str">
        <f t="shared" si="4"/>
        <v>56797.4769</v>
      </c>
      <c r="H16" s="13">
        <f t="shared" si="5"/>
        <v>14338</v>
      </c>
      <c r="I16" s="42" t="s">
        <v>89</v>
      </c>
      <c r="J16" s="43" t="s">
        <v>90</v>
      </c>
      <c r="K16" s="42">
        <v>14338</v>
      </c>
      <c r="L16" s="42" t="s">
        <v>91</v>
      </c>
      <c r="M16" s="43" t="s">
        <v>79</v>
      </c>
      <c r="N16" s="43" t="s">
        <v>92</v>
      </c>
      <c r="O16" s="44" t="s">
        <v>93</v>
      </c>
      <c r="P16" s="45" t="s">
        <v>94</v>
      </c>
    </row>
    <row r="17" spans="1:16" ht="12.75" customHeight="1" thickBot="1" x14ac:dyDescent="0.25">
      <c r="A17" s="13" t="str">
        <f t="shared" si="0"/>
        <v>BAVM 241 (=IBVS 6157) </v>
      </c>
      <c r="B17" s="18" t="str">
        <f t="shared" si="1"/>
        <v>I</v>
      </c>
      <c r="C17" s="13">
        <f t="shared" si="2"/>
        <v>57122.452100000002</v>
      </c>
      <c r="D17" s="16" t="str">
        <f t="shared" si="3"/>
        <v>vis</v>
      </c>
      <c r="E17" s="41">
        <f>VLOOKUP(C17,Active!C$21:E$971,3,FALSE)</f>
        <v>34559.928014233687</v>
      </c>
      <c r="F17" s="18" t="s">
        <v>62</v>
      </c>
      <c r="G17" s="16" t="str">
        <f t="shared" si="4"/>
        <v>57122.4521</v>
      </c>
      <c r="H17" s="13">
        <f t="shared" si="5"/>
        <v>14715</v>
      </c>
      <c r="I17" s="42" t="s">
        <v>95</v>
      </c>
      <c r="J17" s="43" t="s">
        <v>96</v>
      </c>
      <c r="K17" s="42">
        <v>14715</v>
      </c>
      <c r="L17" s="42" t="s">
        <v>97</v>
      </c>
      <c r="M17" s="43" t="s">
        <v>79</v>
      </c>
      <c r="N17" s="43" t="s">
        <v>92</v>
      </c>
      <c r="O17" s="44" t="s">
        <v>93</v>
      </c>
      <c r="P17" s="45" t="s">
        <v>94</v>
      </c>
    </row>
    <row r="18" spans="1:16" ht="12.75" customHeight="1" thickBot="1" x14ac:dyDescent="0.25">
      <c r="A18" s="13" t="str">
        <f t="shared" si="0"/>
        <v>BAVM 241 (=IBVS 6157) </v>
      </c>
      <c r="B18" s="18" t="str">
        <f t="shared" si="1"/>
        <v>I</v>
      </c>
      <c r="C18" s="13">
        <f t="shared" si="2"/>
        <v>57144.864300000001</v>
      </c>
      <c r="D18" s="16" t="str">
        <f t="shared" si="3"/>
        <v>vis</v>
      </c>
      <c r="E18" s="41">
        <f>VLOOKUP(C18,Active!C$21:E$971,3,FALSE)</f>
        <v>34620.993850421102</v>
      </c>
      <c r="F18" s="18" t="s">
        <v>62</v>
      </c>
      <c r="G18" s="16" t="str">
        <f t="shared" si="4"/>
        <v>57144.8643</v>
      </c>
      <c r="H18" s="13">
        <f t="shared" si="5"/>
        <v>14741</v>
      </c>
      <c r="I18" s="42" t="s">
        <v>98</v>
      </c>
      <c r="J18" s="43" t="s">
        <v>99</v>
      </c>
      <c r="K18" s="42">
        <v>14741</v>
      </c>
      <c r="L18" s="42" t="s">
        <v>100</v>
      </c>
      <c r="M18" s="43" t="s">
        <v>79</v>
      </c>
      <c r="N18" s="43" t="s">
        <v>62</v>
      </c>
      <c r="O18" s="44" t="s">
        <v>93</v>
      </c>
      <c r="P18" s="45" t="s">
        <v>94</v>
      </c>
    </row>
    <row r="19" spans="1:16" ht="12.75" customHeight="1" thickBot="1" x14ac:dyDescent="0.25">
      <c r="A19" s="13" t="str">
        <f t="shared" si="0"/>
        <v> BBS 125 </v>
      </c>
      <c r="B19" s="18" t="str">
        <f t="shared" si="1"/>
        <v>I</v>
      </c>
      <c r="C19" s="13">
        <f t="shared" si="2"/>
        <v>52082.428999999996</v>
      </c>
      <c r="D19" s="16" t="str">
        <f t="shared" si="3"/>
        <v>vis</v>
      </c>
      <c r="E19" s="41">
        <f>VLOOKUP(C19,Active!C$21:E$971,3,FALSE)</f>
        <v>20827.531149783244</v>
      </c>
      <c r="F19" s="18" t="s">
        <v>62</v>
      </c>
      <c r="G19" s="16" t="str">
        <f t="shared" si="4"/>
        <v>52082.429</v>
      </c>
      <c r="H19" s="13">
        <f t="shared" si="5"/>
        <v>8868</v>
      </c>
      <c r="I19" s="42" t="s">
        <v>64</v>
      </c>
      <c r="J19" s="43" t="s">
        <v>65</v>
      </c>
      <c r="K19" s="42">
        <v>8868</v>
      </c>
      <c r="L19" s="42" t="s">
        <v>66</v>
      </c>
      <c r="M19" s="43" t="s">
        <v>67</v>
      </c>
      <c r="N19" s="43" t="s">
        <v>68</v>
      </c>
      <c r="O19" s="44" t="s">
        <v>69</v>
      </c>
      <c r="P19" s="44" t="s">
        <v>70</v>
      </c>
    </row>
    <row r="20" spans="1:16" x14ac:dyDescent="0.2">
      <c r="B20" s="18"/>
      <c r="E20" s="41"/>
      <c r="F20" s="18"/>
    </row>
    <row r="21" spans="1:16" x14ac:dyDescent="0.2">
      <c r="B21" s="18"/>
      <c r="E21" s="41"/>
      <c r="F21" s="18"/>
    </row>
    <row r="22" spans="1:16" x14ac:dyDescent="0.2">
      <c r="B22" s="18"/>
      <c r="E22" s="41"/>
      <c r="F22" s="18"/>
    </row>
    <row r="23" spans="1:16" x14ac:dyDescent="0.2">
      <c r="B23" s="18"/>
      <c r="E23" s="41"/>
      <c r="F23" s="18"/>
    </row>
    <row r="24" spans="1:16" x14ac:dyDescent="0.2">
      <c r="B24" s="18"/>
      <c r="E24" s="41"/>
      <c r="F24" s="18"/>
    </row>
    <row r="25" spans="1:16" x14ac:dyDescent="0.2">
      <c r="B25" s="18"/>
      <c r="E25" s="41"/>
      <c r="F25" s="18"/>
    </row>
    <row r="26" spans="1:16" x14ac:dyDescent="0.2">
      <c r="B26" s="18"/>
      <c r="E26" s="41"/>
      <c r="F26" s="18"/>
    </row>
    <row r="27" spans="1:16" x14ac:dyDescent="0.2">
      <c r="B27" s="18"/>
      <c r="E27" s="41"/>
      <c r="F27" s="18"/>
    </row>
    <row r="28" spans="1:16" x14ac:dyDescent="0.2">
      <c r="B28" s="18"/>
      <c r="E28" s="41"/>
      <c r="F28" s="18"/>
    </row>
    <row r="29" spans="1:16" x14ac:dyDescent="0.2">
      <c r="B29" s="18"/>
      <c r="E29" s="41"/>
      <c r="F29" s="18"/>
    </row>
    <row r="30" spans="1:16" x14ac:dyDescent="0.2">
      <c r="B30" s="18"/>
      <c r="E30" s="41"/>
      <c r="F30" s="18"/>
    </row>
    <row r="31" spans="1:16" x14ac:dyDescent="0.2">
      <c r="B31" s="18"/>
      <c r="E31" s="41"/>
      <c r="F31" s="18"/>
    </row>
    <row r="32" spans="1:16" x14ac:dyDescent="0.2">
      <c r="B32" s="18"/>
      <c r="E32" s="41"/>
      <c r="F32" s="18"/>
    </row>
    <row r="33" spans="2:6" x14ac:dyDescent="0.2">
      <c r="B33" s="18"/>
      <c r="E33" s="41"/>
      <c r="F33" s="18"/>
    </row>
    <row r="34" spans="2:6" x14ac:dyDescent="0.2">
      <c r="B34" s="18"/>
      <c r="E34" s="41"/>
      <c r="F34" s="18"/>
    </row>
    <row r="35" spans="2:6" x14ac:dyDescent="0.2">
      <c r="B35" s="18"/>
      <c r="F35" s="18"/>
    </row>
    <row r="36" spans="2:6" x14ac:dyDescent="0.2">
      <c r="B36" s="18"/>
      <c r="F36" s="18"/>
    </row>
    <row r="37" spans="2:6" x14ac:dyDescent="0.2">
      <c r="B37" s="18"/>
      <c r="F37" s="18"/>
    </row>
    <row r="38" spans="2:6" x14ac:dyDescent="0.2">
      <c r="B38" s="18"/>
      <c r="F38" s="18"/>
    </row>
    <row r="39" spans="2:6" x14ac:dyDescent="0.2">
      <c r="B39" s="18"/>
      <c r="F39" s="18"/>
    </row>
    <row r="40" spans="2:6" x14ac:dyDescent="0.2">
      <c r="B40" s="18"/>
      <c r="F40" s="18"/>
    </row>
    <row r="41" spans="2:6" x14ac:dyDescent="0.2">
      <c r="B41" s="18"/>
      <c r="F41" s="18"/>
    </row>
    <row r="42" spans="2:6" x14ac:dyDescent="0.2">
      <c r="B42" s="18"/>
      <c r="F42" s="18"/>
    </row>
    <row r="43" spans="2:6" x14ac:dyDescent="0.2">
      <c r="B43" s="18"/>
      <c r="F43" s="18"/>
    </row>
    <row r="44" spans="2:6" x14ac:dyDescent="0.2">
      <c r="B44" s="18"/>
      <c r="F44" s="18"/>
    </row>
    <row r="45" spans="2:6" x14ac:dyDescent="0.2">
      <c r="B45" s="18"/>
      <c r="F45" s="18"/>
    </row>
    <row r="46" spans="2:6" x14ac:dyDescent="0.2">
      <c r="B46" s="18"/>
      <c r="F46" s="18"/>
    </row>
    <row r="47" spans="2:6" x14ac:dyDescent="0.2">
      <c r="B47" s="18"/>
      <c r="F47" s="18"/>
    </row>
    <row r="48" spans="2:6" x14ac:dyDescent="0.2">
      <c r="B48" s="18"/>
      <c r="F48" s="18"/>
    </row>
    <row r="49" spans="2:6" x14ac:dyDescent="0.2">
      <c r="B49" s="18"/>
      <c r="F49" s="18"/>
    </row>
    <row r="50" spans="2:6" x14ac:dyDescent="0.2">
      <c r="B50" s="18"/>
      <c r="F50" s="18"/>
    </row>
    <row r="51" spans="2:6" x14ac:dyDescent="0.2">
      <c r="B51" s="18"/>
      <c r="F51" s="18"/>
    </row>
    <row r="52" spans="2:6" x14ac:dyDescent="0.2">
      <c r="B52" s="18"/>
      <c r="F52" s="18"/>
    </row>
    <row r="53" spans="2:6" x14ac:dyDescent="0.2">
      <c r="B53" s="18"/>
      <c r="F53" s="18"/>
    </row>
    <row r="54" spans="2:6" x14ac:dyDescent="0.2">
      <c r="B54" s="18"/>
      <c r="F54" s="18"/>
    </row>
    <row r="55" spans="2:6" x14ac:dyDescent="0.2">
      <c r="B55" s="18"/>
      <c r="F55" s="18"/>
    </row>
    <row r="56" spans="2:6" x14ac:dyDescent="0.2">
      <c r="B56" s="18"/>
      <c r="F56" s="18"/>
    </row>
    <row r="57" spans="2:6" x14ac:dyDescent="0.2">
      <c r="B57" s="18"/>
      <c r="F57" s="18"/>
    </row>
    <row r="58" spans="2:6" x14ac:dyDescent="0.2">
      <c r="B58" s="18"/>
      <c r="F58" s="18"/>
    </row>
    <row r="59" spans="2:6" x14ac:dyDescent="0.2">
      <c r="B59" s="18"/>
      <c r="F59" s="18"/>
    </row>
    <row r="60" spans="2:6" x14ac:dyDescent="0.2">
      <c r="B60" s="18"/>
      <c r="F60" s="18"/>
    </row>
    <row r="61" spans="2:6" x14ac:dyDescent="0.2">
      <c r="B61" s="18"/>
      <c r="F61" s="18"/>
    </row>
    <row r="62" spans="2:6" x14ac:dyDescent="0.2">
      <c r="B62" s="18"/>
      <c r="F62" s="18"/>
    </row>
    <row r="63" spans="2:6" x14ac:dyDescent="0.2">
      <c r="B63" s="18"/>
      <c r="F63" s="18"/>
    </row>
    <row r="64" spans="2:6" x14ac:dyDescent="0.2">
      <c r="B64" s="18"/>
      <c r="F64" s="18"/>
    </row>
    <row r="65" spans="2:6" x14ac:dyDescent="0.2">
      <c r="B65" s="18"/>
      <c r="F65" s="18"/>
    </row>
    <row r="66" spans="2:6" x14ac:dyDescent="0.2">
      <c r="B66" s="18"/>
      <c r="F66" s="18"/>
    </row>
    <row r="67" spans="2:6" x14ac:dyDescent="0.2">
      <c r="B67" s="18"/>
      <c r="F67" s="18"/>
    </row>
    <row r="68" spans="2:6" x14ac:dyDescent="0.2">
      <c r="B68" s="18"/>
      <c r="F68" s="18"/>
    </row>
    <row r="69" spans="2:6" x14ac:dyDescent="0.2">
      <c r="B69" s="18"/>
      <c r="F69" s="18"/>
    </row>
    <row r="70" spans="2:6" x14ac:dyDescent="0.2">
      <c r="B70" s="18"/>
      <c r="F70" s="18"/>
    </row>
    <row r="71" spans="2:6" x14ac:dyDescent="0.2">
      <c r="B71" s="18"/>
      <c r="F71" s="18"/>
    </row>
    <row r="72" spans="2:6" x14ac:dyDescent="0.2">
      <c r="B72" s="18"/>
      <c r="F72" s="18"/>
    </row>
    <row r="73" spans="2:6" x14ac:dyDescent="0.2">
      <c r="B73" s="18"/>
      <c r="F73" s="18"/>
    </row>
    <row r="74" spans="2:6" x14ac:dyDescent="0.2">
      <c r="B74" s="18"/>
      <c r="F74" s="18"/>
    </row>
    <row r="75" spans="2:6" x14ac:dyDescent="0.2">
      <c r="B75" s="18"/>
      <c r="F75" s="18"/>
    </row>
    <row r="76" spans="2:6" x14ac:dyDescent="0.2">
      <c r="B76" s="18"/>
      <c r="F76" s="18"/>
    </row>
    <row r="77" spans="2:6" x14ac:dyDescent="0.2">
      <c r="B77" s="18"/>
      <c r="F77" s="18"/>
    </row>
    <row r="78" spans="2:6" x14ac:dyDescent="0.2">
      <c r="B78" s="18"/>
      <c r="F78" s="18"/>
    </row>
    <row r="79" spans="2:6" x14ac:dyDescent="0.2">
      <c r="B79" s="18"/>
      <c r="F79" s="18"/>
    </row>
    <row r="80" spans="2:6" x14ac:dyDescent="0.2">
      <c r="B80" s="18"/>
      <c r="F80" s="18"/>
    </row>
    <row r="81" spans="2:6" x14ac:dyDescent="0.2">
      <c r="B81" s="18"/>
      <c r="F81" s="18"/>
    </row>
    <row r="82" spans="2:6" x14ac:dyDescent="0.2">
      <c r="B82" s="18"/>
      <c r="F82" s="18"/>
    </row>
    <row r="83" spans="2:6" x14ac:dyDescent="0.2">
      <c r="B83" s="18"/>
      <c r="F83" s="18"/>
    </row>
    <row r="84" spans="2:6" x14ac:dyDescent="0.2">
      <c r="B84" s="18"/>
      <c r="F84" s="18"/>
    </row>
    <row r="85" spans="2:6" x14ac:dyDescent="0.2">
      <c r="B85" s="18"/>
      <c r="F85" s="18"/>
    </row>
    <row r="86" spans="2:6" x14ac:dyDescent="0.2">
      <c r="B86" s="18"/>
      <c r="F86" s="18"/>
    </row>
    <row r="87" spans="2:6" x14ac:dyDescent="0.2">
      <c r="B87" s="18"/>
      <c r="F87" s="18"/>
    </row>
    <row r="88" spans="2:6" x14ac:dyDescent="0.2">
      <c r="B88" s="18"/>
      <c r="F88" s="18"/>
    </row>
    <row r="89" spans="2:6" x14ac:dyDescent="0.2">
      <c r="B89" s="18"/>
      <c r="F89" s="18"/>
    </row>
    <row r="90" spans="2:6" x14ac:dyDescent="0.2">
      <c r="B90" s="18"/>
      <c r="F90" s="18"/>
    </row>
    <row r="91" spans="2:6" x14ac:dyDescent="0.2">
      <c r="B91" s="18"/>
      <c r="F91" s="18"/>
    </row>
    <row r="92" spans="2:6" x14ac:dyDescent="0.2">
      <c r="B92" s="18"/>
      <c r="F92" s="18"/>
    </row>
    <row r="93" spans="2:6" x14ac:dyDescent="0.2">
      <c r="B93" s="18"/>
      <c r="F93" s="18"/>
    </row>
    <row r="94" spans="2:6" x14ac:dyDescent="0.2">
      <c r="B94" s="18"/>
      <c r="F94" s="18"/>
    </row>
    <row r="95" spans="2:6" x14ac:dyDescent="0.2">
      <c r="B95" s="18"/>
      <c r="F95" s="18"/>
    </row>
    <row r="96" spans="2:6" x14ac:dyDescent="0.2">
      <c r="B96" s="18"/>
      <c r="F96" s="18"/>
    </row>
    <row r="97" spans="2:6" x14ac:dyDescent="0.2">
      <c r="B97" s="18"/>
      <c r="F97" s="18"/>
    </row>
    <row r="98" spans="2:6" x14ac:dyDescent="0.2">
      <c r="B98" s="18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</sheetData>
  <phoneticPr fontId="8" type="noConversion"/>
  <hyperlinks>
    <hyperlink ref="P14" r:id="rId1" display="http://var.astro.cz/oejv/issues/oejv0137.pdf"/>
    <hyperlink ref="P15" r:id="rId2" display="http://var.astro.cz/oejv/issues/oejv0137.pdf"/>
    <hyperlink ref="P13" r:id="rId3" display="http://www.konkoly.hu/cgi-bin/IBVS?5945"/>
    <hyperlink ref="P16" r:id="rId4" display="http://www.bav-astro.de/sfs/BAVM_link.php?BAVMnr=241"/>
    <hyperlink ref="P17" r:id="rId5" display="http://www.bav-astro.de/sfs/BAVM_link.php?BAVMnr=241"/>
    <hyperlink ref="P18" r:id="rId6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2024-02-19T04:08:25Z</dcterms:modified>
</cp:coreProperties>
</file>