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38AD5FC-4125-4EFA-96A1-76FB5B6F23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3" r:id="rId1"/>
    <sheet name="A (old)" sheetId="1" r:id="rId2"/>
    <sheet name="BAV" sheetId="4" r:id="rId3"/>
  </sheets>
  <calcPr calcId="181029"/>
</workbook>
</file>

<file path=xl/calcChain.xml><?xml version="1.0" encoding="utf-8"?>
<calcChain xmlns="http://schemas.openxmlformats.org/spreadsheetml/2006/main">
  <c r="E33" i="3" l="1"/>
  <c r="F33" i="3" s="1"/>
  <c r="G33" i="3" s="1"/>
  <c r="K33" i="3" s="1"/>
  <c r="Q33" i="3"/>
  <c r="E34" i="3"/>
  <c r="F34" i="3"/>
  <c r="G34" i="3" s="1"/>
  <c r="K34" i="3" s="1"/>
  <c r="Q34" i="3"/>
  <c r="E35" i="3"/>
  <c r="F35" i="3"/>
  <c r="G35" i="3" s="1"/>
  <c r="K35" i="3" s="1"/>
  <c r="Q35" i="3"/>
  <c r="E36" i="3"/>
  <c r="F36" i="3"/>
  <c r="G36" i="3" s="1"/>
  <c r="K36" i="3" s="1"/>
  <c r="Q36" i="3"/>
  <c r="E26" i="3"/>
  <c r="F26" i="3"/>
  <c r="G26" i="3"/>
  <c r="K26" i="3"/>
  <c r="E27" i="3"/>
  <c r="F27" i="3"/>
  <c r="G27" i="3"/>
  <c r="K27" i="3"/>
  <c r="E28" i="3"/>
  <c r="F28" i="3"/>
  <c r="G28" i="3"/>
  <c r="K28" i="3"/>
  <c r="E29" i="3"/>
  <c r="F29" i="3"/>
  <c r="G29" i="3"/>
  <c r="K29" i="3"/>
  <c r="E30" i="3"/>
  <c r="F30" i="3"/>
  <c r="G30" i="3"/>
  <c r="J30" i="3"/>
  <c r="E32" i="3"/>
  <c r="F32" i="3"/>
  <c r="G32" i="3"/>
  <c r="K32" i="3"/>
  <c r="E31" i="3"/>
  <c r="F31" i="3"/>
  <c r="G31" i="3"/>
  <c r="K31" i="3"/>
  <c r="D9" i="3"/>
  <c r="C9" i="3"/>
  <c r="E23" i="3"/>
  <c r="F23" i="3"/>
  <c r="G23" i="3"/>
  <c r="J23" i="3"/>
  <c r="E24" i="3"/>
  <c r="F24" i="3"/>
  <c r="G24" i="3"/>
  <c r="J24" i="3"/>
  <c r="E25" i="3"/>
  <c r="F25" i="3"/>
  <c r="G25" i="3"/>
  <c r="J25" i="3"/>
  <c r="Q32" i="3"/>
  <c r="Q31" i="3"/>
  <c r="G20" i="4"/>
  <c r="C20" i="4"/>
  <c r="E20" i="4"/>
  <c r="G19" i="4"/>
  <c r="C19" i="4"/>
  <c r="E19" i="4"/>
  <c r="G18" i="4"/>
  <c r="C18" i="4"/>
  <c r="E18" i="4"/>
  <c r="G17" i="4"/>
  <c r="C17" i="4"/>
  <c r="E17" i="4"/>
  <c r="G16" i="4"/>
  <c r="C16" i="4"/>
  <c r="E16" i="4"/>
  <c r="G15" i="4"/>
  <c r="C15" i="4"/>
  <c r="E15" i="4"/>
  <c r="G14" i="4"/>
  <c r="C14" i="4"/>
  <c r="E14" i="4"/>
  <c r="G13" i="4"/>
  <c r="C13" i="4"/>
  <c r="E13" i="4"/>
  <c r="G12" i="4"/>
  <c r="C12" i="4"/>
  <c r="E12" i="4"/>
  <c r="E22" i="3"/>
  <c r="G11" i="4"/>
  <c r="C11" i="4"/>
  <c r="E11" i="4"/>
  <c r="E21" i="3"/>
  <c r="H20" i="4"/>
  <c r="D20" i="4"/>
  <c r="B20" i="4"/>
  <c r="A20" i="4"/>
  <c r="H19" i="4"/>
  <c r="B19" i="4"/>
  <c r="D19" i="4"/>
  <c r="A19" i="4"/>
  <c r="H18" i="4"/>
  <c r="D18" i="4"/>
  <c r="B18" i="4"/>
  <c r="A18" i="4"/>
  <c r="H17" i="4"/>
  <c r="B17" i="4"/>
  <c r="D17" i="4"/>
  <c r="A17" i="4"/>
  <c r="H16" i="4"/>
  <c r="D16" i="4"/>
  <c r="B16" i="4"/>
  <c r="A16" i="4"/>
  <c r="H15" i="4"/>
  <c r="B15" i="4"/>
  <c r="D15" i="4"/>
  <c r="A15" i="4"/>
  <c r="H14" i="4"/>
  <c r="D14" i="4"/>
  <c r="B14" i="4"/>
  <c r="A14" i="4"/>
  <c r="H13" i="4"/>
  <c r="B13" i="4"/>
  <c r="D13" i="4"/>
  <c r="A13" i="4"/>
  <c r="H12" i="4"/>
  <c r="D12" i="4"/>
  <c r="B12" i="4"/>
  <c r="A12" i="4"/>
  <c r="H11" i="4"/>
  <c r="B11" i="4"/>
  <c r="D11" i="4"/>
  <c r="A11" i="4"/>
  <c r="Q26" i="3"/>
  <c r="Q27" i="3"/>
  <c r="Q28" i="3"/>
  <c r="Q30" i="3"/>
  <c r="F21" i="3"/>
  <c r="G21" i="3"/>
  <c r="J21" i="3"/>
  <c r="F22" i="3"/>
  <c r="G22" i="3"/>
  <c r="J22" i="3"/>
  <c r="F16" i="3"/>
  <c r="C17" i="3"/>
  <c r="Q21" i="3"/>
  <c r="Q22" i="3"/>
  <c r="Q23" i="3"/>
  <c r="Q24" i="3"/>
  <c r="Q25" i="3"/>
  <c r="Q29" i="3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G11" i="1"/>
  <c r="F11" i="1"/>
  <c r="Q21" i="1"/>
  <c r="Q22" i="1"/>
  <c r="Q23" i="1"/>
  <c r="Q24" i="1"/>
  <c r="Q25" i="1"/>
  <c r="Q26" i="1"/>
  <c r="E14" i="1"/>
  <c r="C17" i="1"/>
  <c r="C12" i="3"/>
  <c r="C11" i="3"/>
  <c r="C12" i="1"/>
  <c r="O35" i="3" l="1"/>
  <c r="O34" i="3"/>
  <c r="O33" i="3"/>
  <c r="O36" i="3"/>
  <c r="C16" i="1"/>
  <c r="D18" i="1" s="1"/>
  <c r="O27" i="3"/>
  <c r="O31" i="3"/>
  <c r="O28" i="3"/>
  <c r="O24" i="3"/>
  <c r="O30" i="3"/>
  <c r="O25" i="3"/>
  <c r="O26" i="3"/>
  <c r="C15" i="3"/>
  <c r="F18" i="3" s="1"/>
  <c r="O22" i="3"/>
  <c r="O32" i="3"/>
  <c r="O21" i="3"/>
  <c r="O23" i="3"/>
  <c r="O29" i="3"/>
  <c r="C16" i="3"/>
  <c r="D18" i="3" s="1"/>
  <c r="E15" i="1"/>
  <c r="F17" i="3"/>
  <c r="C11" i="1"/>
  <c r="O22" i="1" l="1"/>
  <c r="C15" i="1"/>
  <c r="O23" i="1"/>
  <c r="O24" i="1"/>
  <c r="O26" i="1"/>
  <c r="O21" i="1"/>
  <c r="O25" i="1"/>
  <c r="F19" i="3"/>
  <c r="C18" i="3"/>
  <c r="C18" i="1" l="1"/>
  <c r="E16" i="1"/>
  <c r="E17" i="1" s="1"/>
</calcChain>
</file>

<file path=xl/sharedStrings.xml><?xml version="1.0" encoding="utf-8"?>
<sst xmlns="http://schemas.openxmlformats.org/spreadsheetml/2006/main" count="243" uniqueCount="121">
  <si>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</si>
  <si>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</si>
  <si>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</si>
  <si>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</si>
  <si>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</si>
  <si>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</si>
  <si>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</si>
  <si>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</si>
  <si>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</si>
  <si>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</si>
  <si>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</si>
  <si>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</si>
  <si>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</si>
  <si>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</si>
  <si>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</si>
  <si>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</si>
  <si>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</si>
  <si>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</si>
  <si>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</si>
  <si>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</si>
  <si>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</si>
  <si>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</si>
  <si>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</si>
  <si>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</si>
  <si>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</si>
  <si>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</si>
  <si>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</si>
  <si>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</si>
  <si>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</si>
  <si>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</si>
  <si>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</si>
  <si>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</si>
  <si>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</si>
  <si>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</si>
  <si>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</si>
  <si>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</si>
  <si>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</si>
  <si>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</si>
  <si>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</si>
  <si>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</si>
  <si>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</si>
  <si>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</si>
  <si>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</si>
  <si>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HY Lyr / na</t>
  </si>
  <si>
    <t>EB/KE</t>
  </si>
  <si>
    <t>IBVS 5731</t>
  </si>
  <si>
    <t>I</t>
  </si>
  <si>
    <t>IBVS 6010</t>
  </si>
  <si>
    <t>.0016</t>
  </si>
  <si>
    <t>.0015</t>
  </si>
  <si>
    <t>.0008</t>
  </si>
  <si>
    <t>IBVS 6033</t>
  </si>
  <si>
    <t>II</t>
  </si>
  <si>
    <t>S2</t>
  </si>
  <si>
    <t>from ToMcat 2013-03-15</t>
  </si>
  <si>
    <t>OEJV 0160</t>
  </si>
  <si>
    <t>IBVS 6070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</si>
  <si>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</si>
  <si>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</si>
  <si>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</si>
  <si>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</si>
  <si>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</si>
  <si>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</si>
  <si>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</si>
  <si>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</si>
  <si>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</si>
  <si>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</si>
  <si>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</si>
  <si>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2453861.3563 </t>
  </si>
  <si>
    <t> 05.05.2006 20:33 </t>
  </si>
  <si>
    <t> 0.0482 </t>
  </si>
  <si>
    <t>C </t>
  </si>
  <si>
    <t>-I</t>
  </si>
  <si>
    <t> P.Frank </t>
  </si>
  <si>
    <t>BAVM 178 </t>
  </si>
  <si>
    <t>2453861.5461 </t>
  </si>
  <si>
    <t> 06.05.2006 01:06 </t>
  </si>
  <si>
    <t>3006</t>
  </si>
  <si>
    <t> 0.0117 </t>
  </si>
  <si>
    <t>2455670.5209 </t>
  </si>
  <si>
    <t> 19.04.2011 00:30 </t>
  </si>
  <si>
    <t>7771.5</t>
  </si>
  <si>
    <t> -348.6459 </t>
  </si>
  <si>
    <t> F.Agerer </t>
  </si>
  <si>
    <t>BAVM 220 </t>
  </si>
  <si>
    <t>2455673.4733 </t>
  </si>
  <si>
    <t> 21.04.2011 23:21 </t>
  </si>
  <si>
    <t>7778</t>
  </si>
  <si>
    <t> -348.6364 </t>
  </si>
  <si>
    <t>2455705.4000 </t>
  </si>
  <si>
    <t> 23.05.2011 21:36 </t>
  </si>
  <si>
    <t>7848.5</t>
  </si>
  <si>
    <t> -348.6294 </t>
  </si>
  <si>
    <t>2455707.42985 </t>
  </si>
  <si>
    <t> 25.05.2011 22:18 </t>
  </si>
  <si>
    <t>7853</t>
  </si>
  <si>
    <t> -348.63697 </t>
  </si>
  <si>
    <t> V.Pribik </t>
  </si>
  <si>
    <t>OEJV 0160 </t>
  </si>
  <si>
    <t>2455724.40771 </t>
  </si>
  <si>
    <t> 11.06.2011 21:47 </t>
  </si>
  <si>
    <t>7890.5</t>
  </si>
  <si>
    <t> -348.63764 </t>
  </si>
  <si>
    <t> M.Audejean </t>
  </si>
  <si>
    <t>2455749.50725 </t>
  </si>
  <si>
    <t> 07.07.2011 00:10 </t>
  </si>
  <si>
    <t>7946</t>
  </si>
  <si>
    <t> -348.66634 </t>
  </si>
  <si>
    <t>2455825.3577 </t>
  </si>
  <si>
    <t> 20.09.2011 20:35 </t>
  </si>
  <si>
    <t>8113.5</t>
  </si>
  <si>
    <t> -348.6533 </t>
  </si>
  <si>
    <t> M.Banfi </t>
  </si>
  <si>
    <t>IBVS 6033 </t>
  </si>
  <si>
    <t>2456062.5070 </t>
  </si>
  <si>
    <t> 15.05.2012 00:10 </t>
  </si>
  <si>
    <t>8637</t>
  </si>
  <si>
    <t> -348.5244 </t>
  </si>
  <si>
    <t>BAVM 231 </t>
  </si>
  <si>
    <t>IBVS 6196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</si>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</sst>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7"/>
      <name val="Arial"/>
    </font>
    <font>
      <sz val="10"/>
      <color indexed="12"/>
      <name val="Arial"/>
    </font>
    <font>
      <b/>
      <sz val="12"/>
      <color indexed="8"/>
      <name val="Arial"/>
      <family val="2"/>
    </font>
    <font>
      <u/>
      <sz val="10"/>
      <color indexed="12"/>
      <name val="Arial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21" fillId="0" borderId="0"/>
    <xf numFmtId="0" fontId="21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9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0" fillId="24" borderId="17" xfId="38" applyFill="1" applyBorder="1" applyAlignment="1" applyProtection="1">
      <alignment horizontal="right" vertical="top" wrapText="1"/>
    </xf>
    <xf numFmtId="165" fontId="36" fillId="0" borderId="0" xfId="0" applyNumberFormat="1" applyFont="1" applyAlignment="1" applyProtection="1">
      <alignment vertical="center" wrapText="1"/>
      <protection locked="0"/>
    </xf>
    <xf numFmtId="0" fontId="36" fillId="0" borderId="0" xfId="0" applyFont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5" fillId="0" borderId="0" xfId="42" applyFont="1" applyAlignment="1">
      <alignment vertical="center" wrapText="1"/>
    </xf>
    <xf numFmtId="0" fontId="35" fillId="0" borderId="0" xfId="42" applyFont="1" applyAlignment="1">
      <alignment horizontal="center" vertical="center" wrapText="1"/>
    </xf>
    <xf numFmtId="0" fontId="35" fillId="0" borderId="0" xfId="42" applyFont="1" applyAlignment="1">
      <alignment horizontal="left" vertical="center" wrapText="1"/>
    </xf>
    <xf numFmtId="0" fontId="36" fillId="0" borderId="0" xfId="0" applyFont="1" applyAlignment="1" applyProtection="1">
      <alignment horizontal="left"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5" fillId="0" borderId="0" xfId="42" applyNumberFormat="1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HY Lyr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2.5000000000000001E-3</c:v>
                  </c:pt>
                  <c:pt idx="10">
                    <c:v>1E-3</c:v>
                  </c:pt>
                  <c:pt idx="11">
                    <c:v>5.0000000000000001E-4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2.5000000000000001E-3</c:v>
                  </c:pt>
                  <c:pt idx="10">
                    <c:v>1E-3</c:v>
                  </c:pt>
                  <c:pt idx="1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4901.5</c:v>
                </c:pt>
                <c:pt idx="3">
                  <c:v>4909.5</c:v>
                </c:pt>
                <c:pt idx="4">
                  <c:v>4996</c:v>
                </c:pt>
                <c:pt idx="5">
                  <c:v>5001.5</c:v>
                </c:pt>
                <c:pt idx="6">
                  <c:v>5047.5</c:v>
                </c:pt>
                <c:pt idx="7">
                  <c:v>5115.5</c:v>
                </c:pt>
                <c:pt idx="8">
                  <c:v>5321</c:v>
                </c:pt>
                <c:pt idx="9">
                  <c:v>5963.5</c:v>
                </c:pt>
                <c:pt idx="10">
                  <c:v>9902.5</c:v>
                </c:pt>
                <c:pt idx="11">
                  <c:v>9903</c:v>
                </c:pt>
                <c:pt idx="12">
                  <c:v>16234</c:v>
                </c:pt>
                <c:pt idx="13">
                  <c:v>16242</c:v>
                </c:pt>
                <c:pt idx="14">
                  <c:v>16245</c:v>
                </c:pt>
                <c:pt idx="15">
                  <c:v>16247.5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73-4CD2-BFC5-13206A6F83D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2.5000000000000001E-3</c:v>
                  </c:pt>
                  <c:pt idx="10">
                    <c:v>1E-3</c:v>
                  </c:pt>
                  <c:pt idx="11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2.5000000000000001E-3</c:v>
                  </c:pt>
                  <c:pt idx="10">
                    <c:v>1E-3</c:v>
                  </c:pt>
                  <c:pt idx="1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4901.5</c:v>
                </c:pt>
                <c:pt idx="3">
                  <c:v>4909.5</c:v>
                </c:pt>
                <c:pt idx="4">
                  <c:v>4996</c:v>
                </c:pt>
                <c:pt idx="5">
                  <c:v>5001.5</c:v>
                </c:pt>
                <c:pt idx="6">
                  <c:v>5047.5</c:v>
                </c:pt>
                <c:pt idx="7">
                  <c:v>5115.5</c:v>
                </c:pt>
                <c:pt idx="8">
                  <c:v>5321</c:v>
                </c:pt>
                <c:pt idx="9">
                  <c:v>5963.5</c:v>
                </c:pt>
                <c:pt idx="10">
                  <c:v>9902.5</c:v>
                </c:pt>
                <c:pt idx="11">
                  <c:v>9903</c:v>
                </c:pt>
                <c:pt idx="12">
                  <c:v>16234</c:v>
                </c:pt>
                <c:pt idx="13">
                  <c:v>16242</c:v>
                </c:pt>
                <c:pt idx="14">
                  <c:v>16245</c:v>
                </c:pt>
                <c:pt idx="15">
                  <c:v>16247.5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73-4CD2-BFC5-13206A6F83D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2.5000000000000001E-3</c:v>
                  </c:pt>
                  <c:pt idx="10">
                    <c:v>1E-3</c:v>
                  </c:pt>
                  <c:pt idx="11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2.5000000000000001E-3</c:v>
                  </c:pt>
                  <c:pt idx="10">
                    <c:v>1E-3</c:v>
                  </c:pt>
                  <c:pt idx="1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4901.5</c:v>
                </c:pt>
                <c:pt idx="3">
                  <c:v>4909.5</c:v>
                </c:pt>
                <c:pt idx="4">
                  <c:v>4996</c:v>
                </c:pt>
                <c:pt idx="5">
                  <c:v>5001.5</c:v>
                </c:pt>
                <c:pt idx="6">
                  <c:v>5047.5</c:v>
                </c:pt>
                <c:pt idx="7">
                  <c:v>5115.5</c:v>
                </c:pt>
                <c:pt idx="8">
                  <c:v>5321</c:v>
                </c:pt>
                <c:pt idx="9">
                  <c:v>5963.5</c:v>
                </c:pt>
                <c:pt idx="10">
                  <c:v>9902.5</c:v>
                </c:pt>
                <c:pt idx="11">
                  <c:v>9903</c:v>
                </c:pt>
                <c:pt idx="12">
                  <c:v>16234</c:v>
                </c:pt>
                <c:pt idx="13">
                  <c:v>16242</c:v>
                </c:pt>
                <c:pt idx="14">
                  <c:v>16245</c:v>
                </c:pt>
                <c:pt idx="15">
                  <c:v>16247.5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0">
                  <c:v>0</c:v>
                </c:pt>
                <c:pt idx="1">
                  <c:v>5.2500000019790605E-3</c:v>
                </c:pt>
                <c:pt idx="2">
                  <c:v>2.0950000005541369E-2</c:v>
                </c:pt>
                <c:pt idx="3">
                  <c:v>2.0550000001094304E-2</c:v>
                </c:pt>
                <c:pt idx="4">
                  <c:v>2.0100000001548324E-2</c:v>
                </c:pt>
                <c:pt idx="9">
                  <c:v>2.2850000001199078E-2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73-4CD2-BFC5-13206A6F83D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2.5000000000000001E-3</c:v>
                  </c:pt>
                  <c:pt idx="10">
                    <c:v>1E-3</c:v>
                  </c:pt>
                  <c:pt idx="11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2.5000000000000001E-3</c:v>
                  </c:pt>
                  <c:pt idx="10">
                    <c:v>1E-3</c:v>
                  </c:pt>
                  <c:pt idx="1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4901.5</c:v>
                </c:pt>
                <c:pt idx="3">
                  <c:v>4909.5</c:v>
                </c:pt>
                <c:pt idx="4">
                  <c:v>4996</c:v>
                </c:pt>
                <c:pt idx="5">
                  <c:v>5001.5</c:v>
                </c:pt>
                <c:pt idx="6">
                  <c:v>5047.5</c:v>
                </c:pt>
                <c:pt idx="7">
                  <c:v>5115.5</c:v>
                </c:pt>
                <c:pt idx="8">
                  <c:v>5321</c:v>
                </c:pt>
                <c:pt idx="9">
                  <c:v>5963.5</c:v>
                </c:pt>
                <c:pt idx="10">
                  <c:v>9902.5</c:v>
                </c:pt>
                <c:pt idx="11">
                  <c:v>9903</c:v>
                </c:pt>
                <c:pt idx="12">
                  <c:v>16234</c:v>
                </c:pt>
                <c:pt idx="13">
                  <c:v>16242</c:v>
                </c:pt>
                <c:pt idx="14">
                  <c:v>16245</c:v>
                </c:pt>
                <c:pt idx="15">
                  <c:v>16247.5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5">
                  <c:v>1.9899999999324791E-2</c:v>
                </c:pt>
                <c:pt idx="6">
                  <c:v>1.9160000003466848E-2</c:v>
                </c:pt>
                <c:pt idx="7">
                  <c:v>1.9900000006600749E-2</c:v>
                </c:pt>
                <c:pt idx="8">
                  <c:v>2.0300000003771856E-2</c:v>
                </c:pt>
                <c:pt idx="10">
                  <c:v>2.2949999998672865E-2</c:v>
                </c:pt>
                <c:pt idx="11">
                  <c:v>2.3099999998521525E-2</c:v>
                </c:pt>
                <c:pt idx="12">
                  <c:v>2.6899999866145663E-2</c:v>
                </c:pt>
                <c:pt idx="13">
                  <c:v>2.7400000035413541E-2</c:v>
                </c:pt>
                <c:pt idx="14">
                  <c:v>2.6799999926879536E-2</c:v>
                </c:pt>
                <c:pt idx="15">
                  <c:v>2.575000021897722E-2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73-4CD2-BFC5-13206A6F83D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2.5000000000000001E-3</c:v>
                  </c:pt>
                  <c:pt idx="10">
                    <c:v>1E-3</c:v>
                  </c:pt>
                  <c:pt idx="11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2.5000000000000001E-3</c:v>
                  </c:pt>
                  <c:pt idx="10">
                    <c:v>1E-3</c:v>
                  </c:pt>
                  <c:pt idx="1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4901.5</c:v>
                </c:pt>
                <c:pt idx="3">
                  <c:v>4909.5</c:v>
                </c:pt>
                <c:pt idx="4">
                  <c:v>4996</c:v>
                </c:pt>
                <c:pt idx="5">
                  <c:v>5001.5</c:v>
                </c:pt>
                <c:pt idx="6">
                  <c:v>5047.5</c:v>
                </c:pt>
                <c:pt idx="7">
                  <c:v>5115.5</c:v>
                </c:pt>
                <c:pt idx="8">
                  <c:v>5321</c:v>
                </c:pt>
                <c:pt idx="9">
                  <c:v>5963.5</c:v>
                </c:pt>
                <c:pt idx="10">
                  <c:v>9902.5</c:v>
                </c:pt>
                <c:pt idx="11">
                  <c:v>9903</c:v>
                </c:pt>
                <c:pt idx="12">
                  <c:v>16234</c:v>
                </c:pt>
                <c:pt idx="13">
                  <c:v>16242</c:v>
                </c:pt>
                <c:pt idx="14">
                  <c:v>16245</c:v>
                </c:pt>
                <c:pt idx="15">
                  <c:v>16247.5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73-4CD2-BFC5-13206A6F83D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2.5000000000000001E-3</c:v>
                  </c:pt>
                  <c:pt idx="10">
                    <c:v>1E-3</c:v>
                  </c:pt>
                  <c:pt idx="11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2.5000000000000001E-3</c:v>
                  </c:pt>
                  <c:pt idx="10">
                    <c:v>1E-3</c:v>
                  </c:pt>
                  <c:pt idx="1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4901.5</c:v>
                </c:pt>
                <c:pt idx="3">
                  <c:v>4909.5</c:v>
                </c:pt>
                <c:pt idx="4">
                  <c:v>4996</c:v>
                </c:pt>
                <c:pt idx="5">
                  <c:v>5001.5</c:v>
                </c:pt>
                <c:pt idx="6">
                  <c:v>5047.5</c:v>
                </c:pt>
                <c:pt idx="7">
                  <c:v>5115.5</c:v>
                </c:pt>
                <c:pt idx="8">
                  <c:v>5321</c:v>
                </c:pt>
                <c:pt idx="9">
                  <c:v>5963.5</c:v>
                </c:pt>
                <c:pt idx="10">
                  <c:v>9902.5</c:v>
                </c:pt>
                <c:pt idx="11">
                  <c:v>9903</c:v>
                </c:pt>
                <c:pt idx="12">
                  <c:v>16234</c:v>
                </c:pt>
                <c:pt idx="13">
                  <c:v>16242</c:v>
                </c:pt>
                <c:pt idx="14">
                  <c:v>16245</c:v>
                </c:pt>
                <c:pt idx="15">
                  <c:v>16247.5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73-4CD2-BFC5-13206A6F83D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2.5000000000000001E-3</c:v>
                  </c:pt>
                  <c:pt idx="10">
                    <c:v>1E-3</c:v>
                  </c:pt>
                  <c:pt idx="11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1.6000000000000001E-3</c:v>
                  </c:pt>
                  <c:pt idx="3">
                    <c:v>1.5E-3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2.5000000000000001E-3</c:v>
                  </c:pt>
                  <c:pt idx="10">
                    <c:v>1E-3</c:v>
                  </c:pt>
                  <c:pt idx="1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4901.5</c:v>
                </c:pt>
                <c:pt idx="3">
                  <c:v>4909.5</c:v>
                </c:pt>
                <c:pt idx="4">
                  <c:v>4996</c:v>
                </c:pt>
                <c:pt idx="5">
                  <c:v>5001.5</c:v>
                </c:pt>
                <c:pt idx="6">
                  <c:v>5047.5</c:v>
                </c:pt>
                <c:pt idx="7">
                  <c:v>5115.5</c:v>
                </c:pt>
                <c:pt idx="8">
                  <c:v>5321</c:v>
                </c:pt>
                <c:pt idx="9">
                  <c:v>5963.5</c:v>
                </c:pt>
                <c:pt idx="10">
                  <c:v>9902.5</c:v>
                </c:pt>
                <c:pt idx="11">
                  <c:v>9903</c:v>
                </c:pt>
                <c:pt idx="12">
                  <c:v>16234</c:v>
                </c:pt>
                <c:pt idx="13">
                  <c:v>16242</c:v>
                </c:pt>
                <c:pt idx="14">
                  <c:v>16245</c:v>
                </c:pt>
                <c:pt idx="15">
                  <c:v>16247.5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73-4CD2-BFC5-13206A6F83D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4901.5</c:v>
                </c:pt>
                <c:pt idx="3">
                  <c:v>4909.5</c:v>
                </c:pt>
                <c:pt idx="4">
                  <c:v>4996</c:v>
                </c:pt>
                <c:pt idx="5">
                  <c:v>5001.5</c:v>
                </c:pt>
                <c:pt idx="6">
                  <c:v>5047.5</c:v>
                </c:pt>
                <c:pt idx="7">
                  <c:v>5115.5</c:v>
                </c:pt>
                <c:pt idx="8">
                  <c:v>5321</c:v>
                </c:pt>
                <c:pt idx="9">
                  <c:v>5963.5</c:v>
                </c:pt>
                <c:pt idx="10">
                  <c:v>9902.5</c:v>
                </c:pt>
                <c:pt idx="11">
                  <c:v>9903</c:v>
                </c:pt>
                <c:pt idx="12">
                  <c:v>16234</c:v>
                </c:pt>
                <c:pt idx="13">
                  <c:v>16242</c:v>
                </c:pt>
                <c:pt idx="14">
                  <c:v>16245</c:v>
                </c:pt>
                <c:pt idx="15">
                  <c:v>16247.5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1.7503293035715926E-2</c:v>
                </c:pt>
                <c:pt idx="1">
                  <c:v>1.7503576951837355E-2</c:v>
                </c:pt>
                <c:pt idx="2">
                  <c:v>2.0286522774074337E-2</c:v>
                </c:pt>
                <c:pt idx="3">
                  <c:v>2.0291065432017186E-2</c:v>
                </c:pt>
                <c:pt idx="4">
                  <c:v>2.0340182921024224E-2</c:v>
                </c:pt>
                <c:pt idx="5">
                  <c:v>2.0343305998359932E-2</c:v>
                </c:pt>
                <c:pt idx="6">
                  <c:v>2.0369426281531305E-2</c:v>
                </c:pt>
                <c:pt idx="7">
                  <c:v>2.0408038874045509E-2</c:v>
                </c:pt>
                <c:pt idx="8">
                  <c:v>2.0524728399952407E-2</c:v>
                </c:pt>
                <c:pt idx="9">
                  <c:v>2.0889560615987353E-2</c:v>
                </c:pt>
                <c:pt idx="10">
                  <c:v>2.3126251820596917E-2</c:v>
                </c:pt>
                <c:pt idx="11">
                  <c:v>2.3126535736718343E-2</c:v>
                </c:pt>
                <c:pt idx="12">
                  <c:v>2.6721481666239326E-2</c:v>
                </c:pt>
                <c:pt idx="13">
                  <c:v>2.6726024324182175E-2</c:v>
                </c:pt>
                <c:pt idx="14">
                  <c:v>2.6727727820910742E-2</c:v>
                </c:pt>
                <c:pt idx="15">
                  <c:v>2.6729147401517883E-2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73-4CD2-BFC5-13206A6F83D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4901.5</c:v>
                </c:pt>
                <c:pt idx="3">
                  <c:v>4909.5</c:v>
                </c:pt>
                <c:pt idx="4">
                  <c:v>4996</c:v>
                </c:pt>
                <c:pt idx="5">
                  <c:v>5001.5</c:v>
                </c:pt>
                <c:pt idx="6">
                  <c:v>5047.5</c:v>
                </c:pt>
                <c:pt idx="7">
                  <c:v>5115.5</c:v>
                </c:pt>
                <c:pt idx="8">
                  <c:v>5321</c:v>
                </c:pt>
                <c:pt idx="9">
                  <c:v>5963.5</c:v>
                </c:pt>
                <c:pt idx="10">
                  <c:v>9902.5</c:v>
                </c:pt>
                <c:pt idx="11">
                  <c:v>9903</c:v>
                </c:pt>
                <c:pt idx="12">
                  <c:v>16234</c:v>
                </c:pt>
                <c:pt idx="13">
                  <c:v>16242</c:v>
                </c:pt>
                <c:pt idx="14">
                  <c:v>16245</c:v>
                </c:pt>
                <c:pt idx="15">
                  <c:v>16247.5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D73-4CD2-BFC5-13206A6F8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394696"/>
        <c:axId val="1"/>
      </c:scatterChart>
      <c:valAx>
        <c:axId val="548394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394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HY Lyr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(old)'!$D$21:$D$238</c:f>
                <c:numCache>
                  <c:formatCode>General</c:formatCode>
                  <c:ptCount val="21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'A (old)'!$D$21:$D$238</c:f>
                <c:numCache>
                  <c:formatCode>General</c:formatCode>
                  <c:ptCount val="21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3230.5</c:v>
                </c:pt>
                <c:pt idx="3">
                  <c:v>3236</c:v>
                </c:pt>
                <c:pt idx="4">
                  <c:v>3293</c:v>
                </c:pt>
                <c:pt idx="5">
                  <c:v>3507</c:v>
                </c:pt>
              </c:numCache>
            </c:numRef>
          </c:xVal>
          <c:yVal>
            <c:numRef>
              <c:f>'A (old)'!$H$21:$H$998</c:f>
              <c:numCache>
                <c:formatCode>General</c:formatCode>
                <c:ptCount val="978"/>
                <c:pt idx="0">
                  <c:v>0</c:v>
                </c:pt>
                <c:pt idx="1">
                  <c:v>-9.0199999998731073E-2</c:v>
                </c:pt>
                <c:pt idx="2">
                  <c:v>8.4600000001955777E-2</c:v>
                </c:pt>
                <c:pt idx="3">
                  <c:v>-4.3000000005122274E-2</c:v>
                </c:pt>
                <c:pt idx="4">
                  <c:v>-3.6299999999755528E-2</c:v>
                </c:pt>
                <c:pt idx="5">
                  <c:v>8.1400000002759043E-2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F6-47CF-A5CD-E17343E23E79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3230.5</c:v>
                </c:pt>
                <c:pt idx="3">
                  <c:v>3236</c:v>
                </c:pt>
                <c:pt idx="4">
                  <c:v>3293</c:v>
                </c:pt>
                <c:pt idx="5">
                  <c:v>3507</c:v>
                </c:pt>
              </c:numCache>
            </c:numRef>
          </c:xVal>
          <c:yVal>
            <c:numRef>
              <c:f>'A (old)'!$I$21:$I$998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F6-47CF-A5CD-E17343E23E79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3230.5</c:v>
                </c:pt>
                <c:pt idx="3">
                  <c:v>3236</c:v>
                </c:pt>
                <c:pt idx="4">
                  <c:v>3293</c:v>
                </c:pt>
                <c:pt idx="5">
                  <c:v>3507</c:v>
                </c:pt>
              </c:numCache>
            </c:numRef>
          </c:xVal>
          <c:yVal>
            <c:numRef>
              <c:f>'A (old)'!$J$21:$J$998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F6-47CF-A5CD-E17343E23E79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3230.5</c:v>
                </c:pt>
                <c:pt idx="3">
                  <c:v>3236</c:v>
                </c:pt>
                <c:pt idx="4">
                  <c:v>3293</c:v>
                </c:pt>
                <c:pt idx="5">
                  <c:v>3507</c:v>
                </c:pt>
              </c:numCache>
            </c:numRef>
          </c:xVal>
          <c:yVal>
            <c:numRef>
              <c:f>'A (old)'!$K$21:$K$998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F6-47CF-A5CD-E17343E23E79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3230.5</c:v>
                </c:pt>
                <c:pt idx="3">
                  <c:v>3236</c:v>
                </c:pt>
                <c:pt idx="4">
                  <c:v>3293</c:v>
                </c:pt>
                <c:pt idx="5">
                  <c:v>3507</c:v>
                </c:pt>
              </c:numCache>
            </c:numRef>
          </c:xVal>
          <c:yVal>
            <c:numRef>
              <c:f>'A (old)'!$L$21:$L$998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F6-47CF-A5CD-E17343E23E79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3230.5</c:v>
                </c:pt>
                <c:pt idx="3">
                  <c:v>3236</c:v>
                </c:pt>
                <c:pt idx="4">
                  <c:v>3293</c:v>
                </c:pt>
                <c:pt idx="5">
                  <c:v>3507</c:v>
                </c:pt>
              </c:numCache>
            </c:numRef>
          </c:xVal>
          <c:yVal>
            <c:numRef>
              <c:f>'A (old)'!$M$21:$M$998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F6-47CF-A5CD-E17343E23E79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2.8999999999999998E-3</c:v>
                  </c:pt>
                  <c:pt idx="1">
                    <c:v>1.6000000000000001E-3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3230.5</c:v>
                </c:pt>
                <c:pt idx="3">
                  <c:v>3236</c:v>
                </c:pt>
                <c:pt idx="4">
                  <c:v>3293</c:v>
                </c:pt>
                <c:pt idx="5">
                  <c:v>3507</c:v>
                </c:pt>
              </c:numCache>
            </c:numRef>
          </c:xVal>
          <c:yVal>
            <c:numRef>
              <c:f>'A (old)'!$N$21:$N$998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4F6-47CF-A5CD-E17343E23E79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3230.5</c:v>
                </c:pt>
                <c:pt idx="3">
                  <c:v>3236</c:v>
                </c:pt>
                <c:pt idx="4">
                  <c:v>3293</c:v>
                </c:pt>
                <c:pt idx="5">
                  <c:v>3507</c:v>
                </c:pt>
              </c:numCache>
            </c:numRef>
          </c:xVal>
          <c:yVal>
            <c:numRef>
              <c:f>'A (old)'!$O$21:$O$998</c:f>
              <c:numCache>
                <c:formatCode>General</c:formatCode>
                <c:ptCount val="978"/>
                <c:pt idx="0">
                  <c:v>-4.6831727958274713E-2</c:v>
                </c:pt>
                <c:pt idx="1">
                  <c:v>-4.6821270041347347E-2</c:v>
                </c:pt>
                <c:pt idx="2">
                  <c:v>2.0736873309443057E-2</c:v>
                </c:pt>
                <c:pt idx="3">
                  <c:v>2.0851910395644088E-2</c:v>
                </c:pt>
                <c:pt idx="4">
                  <c:v>2.2044112925363915E-2</c:v>
                </c:pt>
                <c:pt idx="5">
                  <c:v>2.6520101370276966E-2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F6-47CF-A5CD-E17343E23E79}"/>
            </c:ext>
          </c:extLst>
        </c:ser>
        <c:ser>
          <c:idx val="8"/>
          <c:order val="8"/>
          <c:tx>
            <c:strRef>
              <c:f>'A (old)'!$R$20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3230.5</c:v>
                </c:pt>
                <c:pt idx="3">
                  <c:v>3236</c:v>
                </c:pt>
                <c:pt idx="4">
                  <c:v>3293</c:v>
                </c:pt>
                <c:pt idx="5">
                  <c:v>3507</c:v>
                </c:pt>
              </c:numCache>
            </c:numRef>
          </c:xVal>
          <c:yVal>
            <c:numRef>
              <c:f>'A (old)'!$R$21:$R$998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4F6-47CF-A5CD-E17343E23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392896"/>
        <c:axId val="1"/>
      </c:scatterChart>
      <c:valAx>
        <c:axId val="548392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392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203007518796992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8C203CF3-F734-E7CF-6087-C3ED379CD2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4418F4F-E3D9-AE4F-36F1-D190221AEB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bav-astro.de/sfs/BAVM_link.php?BAVMnr=220" TargetMode="External"/><Relationship Id="rId7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178" TargetMode="External"/><Relationship Id="rId1" Type="http://schemas.openxmlformats.org/officeDocument/2006/relationships/hyperlink" Target="http://www.bav-astro.de/sfs/BAVM_link.php?BAVMnr=178" TargetMode="External"/><Relationship Id="rId6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bav-astro.de/sfs/BAVM_link.php?BAVMnr=220" TargetMode="External"/><Relationship Id="rId10" Type="http://schemas.openxmlformats.org/officeDocument/2006/relationships/hyperlink" Target="http://www.bav-astro.de/sfs/BAVM_link.php?BAVMnr=231" TargetMode="External"/><Relationship Id="rId4" Type="http://schemas.openxmlformats.org/officeDocument/2006/relationships/hyperlink" Target="http://www.bav-astro.de/sfs/BAVM_link.php?BAVMnr=220" TargetMode="External"/><Relationship Id="rId9" Type="http://schemas.openxmlformats.org/officeDocument/2006/relationships/hyperlink" Target="http://www.konkoly.hu/cgi-bin/IBVS?60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8"/>
  </sheetPr>
  <dimension ref="A1:U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43</v>
      </c>
    </row>
    <row r="2" spans="1:6" s="54" customFormat="1" ht="12.95" customHeight="1" x14ac:dyDescent="0.2">
      <c r="A2" s="54" t="s">
        <v>24</v>
      </c>
      <c r="B2" s="54" t="s">
        <v>44</v>
      </c>
      <c r="C2" s="55"/>
      <c r="D2" s="55"/>
    </row>
    <row r="3" spans="1:6" s="54" customFormat="1" ht="12.95" customHeight="1" thickBot="1" x14ac:dyDescent="0.25"/>
    <row r="4" spans="1:6" s="54" customFormat="1" ht="12.95" customHeight="1" thickTop="1" thickBot="1" x14ac:dyDescent="0.25">
      <c r="A4" s="56" t="s">
        <v>0</v>
      </c>
      <c r="C4" s="57" t="s">
        <v>41</v>
      </c>
      <c r="D4" s="58" t="s">
        <v>41</v>
      </c>
    </row>
    <row r="5" spans="1:6" s="54" customFormat="1" ht="12.95" customHeight="1" thickTop="1" x14ac:dyDescent="0.2">
      <c r="A5" s="59" t="s">
        <v>31</v>
      </c>
      <c r="C5" s="60">
        <v>-9.5</v>
      </c>
      <c r="D5" s="54" t="s">
        <v>32</v>
      </c>
    </row>
    <row r="6" spans="1:6" s="54" customFormat="1" ht="12.95" customHeight="1" x14ac:dyDescent="0.2">
      <c r="A6" s="56" t="s">
        <v>1</v>
      </c>
    </row>
    <row r="7" spans="1:6" s="54" customFormat="1" ht="12.95" customHeight="1" x14ac:dyDescent="0.2">
      <c r="A7" s="54" t="s">
        <v>2</v>
      </c>
      <c r="C7" s="90">
        <v>53861.356299999999</v>
      </c>
      <c r="D7" s="61" t="s">
        <v>54</v>
      </c>
    </row>
    <row r="8" spans="1:6" s="54" customFormat="1" ht="12.95" customHeight="1" x14ac:dyDescent="0.2">
      <c r="A8" s="54" t="s">
        <v>3</v>
      </c>
      <c r="C8" s="91">
        <v>0.36909999999999998</v>
      </c>
      <c r="D8" s="63" t="s">
        <v>42</v>
      </c>
    </row>
    <row r="9" spans="1:6" s="54" customFormat="1" ht="12.95" customHeight="1" x14ac:dyDescent="0.2">
      <c r="A9" s="64" t="s">
        <v>36</v>
      </c>
      <c r="B9" s="65">
        <v>23</v>
      </c>
      <c r="C9" s="66" t="str">
        <f>"F"&amp;B9</f>
        <v>F23</v>
      </c>
      <c r="D9" s="67" t="str">
        <f>"G"&amp;B9</f>
        <v>G23</v>
      </c>
    </row>
    <row r="10" spans="1:6" s="54" customFormat="1" ht="12.95" customHeight="1" thickBot="1" x14ac:dyDescent="0.25">
      <c r="C10" s="68" t="s">
        <v>20</v>
      </c>
      <c r="D10" s="68" t="s">
        <v>21</v>
      </c>
    </row>
    <row r="11" spans="1:6" s="54" customFormat="1" ht="12.95" customHeight="1" x14ac:dyDescent="0.2">
      <c r="A11" s="54" t="s">
        <v>15</v>
      </c>
      <c r="C11" s="67">
        <f ca="1">INTERCEPT(INDIRECT($D$9):G991,INDIRECT($C$9):F991)</f>
        <v>1.7503293035715926E-2</v>
      </c>
      <c r="D11" s="55"/>
    </row>
    <row r="12" spans="1:6" s="54" customFormat="1" ht="12.95" customHeight="1" x14ac:dyDescent="0.2">
      <c r="A12" s="54" t="s">
        <v>16</v>
      </c>
      <c r="C12" s="67">
        <f ca="1">SLOPE(INDIRECT($D$9):G991,INDIRECT($C$9):F991)</f>
        <v>5.6783224285594443E-7</v>
      </c>
      <c r="D12" s="55"/>
    </row>
    <row r="13" spans="1:6" s="54" customFormat="1" ht="12.95" customHeight="1" x14ac:dyDescent="0.2">
      <c r="A13" s="54" t="s">
        <v>19</v>
      </c>
      <c r="C13" s="55" t="s">
        <v>13</v>
      </c>
    </row>
    <row r="14" spans="1:6" s="54" customFormat="1" ht="12.95" customHeight="1" x14ac:dyDescent="0.2"/>
    <row r="15" spans="1:6" s="54" customFormat="1" ht="12.95" customHeight="1" x14ac:dyDescent="0.2">
      <c r="A15" s="69" t="s">
        <v>17</v>
      </c>
      <c r="C15" s="70">
        <f ca="1">(C7+C11)+(C8+C12)*INT(MAX(F21:F3532))</f>
        <v>59858.150728863482</v>
      </c>
      <c r="E15" s="71" t="s">
        <v>38</v>
      </c>
      <c r="F15" s="60">
        <v>1</v>
      </c>
    </row>
    <row r="16" spans="1:6" s="54" customFormat="1" ht="12.95" customHeight="1" x14ac:dyDescent="0.2">
      <c r="A16" s="56" t="s">
        <v>4</v>
      </c>
      <c r="C16" s="72">
        <f ca="1">+C8+C12</f>
        <v>0.36910056783224282</v>
      </c>
      <c r="E16" s="71" t="s">
        <v>33</v>
      </c>
      <c r="F16" s="73">
        <f ca="1">NOW()+15018.5+$C$5/24</f>
        <v>60358.849239236108</v>
      </c>
    </row>
    <row r="17" spans="1:21" s="54" customFormat="1" ht="12.95" customHeight="1" thickBot="1" x14ac:dyDescent="0.25">
      <c r="A17" s="71" t="s">
        <v>30</v>
      </c>
      <c r="C17" s="54">
        <f>COUNT(C21:C2190)</f>
        <v>16</v>
      </c>
      <c r="E17" s="71" t="s">
        <v>39</v>
      </c>
      <c r="F17" s="73">
        <f ca="1">ROUND(2*(F16-$C$7)/$C$8,0)/2+F15</f>
        <v>17604.5</v>
      </c>
    </row>
    <row r="18" spans="1:21" s="54" customFormat="1" ht="12.95" customHeight="1" thickTop="1" thickBot="1" x14ac:dyDescent="0.25">
      <c r="A18" s="56" t="s">
        <v>5</v>
      </c>
      <c r="C18" s="74">
        <f ca="1">+C15</f>
        <v>59858.150728863482</v>
      </c>
      <c r="D18" s="75">
        <f ca="1">+C16</f>
        <v>0.36910056783224282</v>
      </c>
      <c r="E18" s="71" t="s">
        <v>40</v>
      </c>
      <c r="F18" s="67">
        <f ca="1">ROUND(2*(F16-$C$15)/$C$16,0)/2+F15</f>
        <v>1357.5</v>
      </c>
    </row>
    <row r="19" spans="1:21" s="54" customFormat="1" ht="12.95" customHeight="1" thickTop="1" x14ac:dyDescent="0.2">
      <c r="E19" s="71" t="s">
        <v>34</v>
      </c>
      <c r="F19" s="76">
        <f ca="1">+$C$15+$C$16*F18-15018.5-$C$5/24</f>
        <v>45341.100583029089</v>
      </c>
    </row>
    <row r="20" spans="1:21" s="54" customFormat="1" ht="12.95" customHeight="1" thickBot="1" x14ac:dyDescent="0.25">
      <c r="A20" s="68" t="s">
        <v>6</v>
      </c>
      <c r="B20" s="68" t="s">
        <v>7</v>
      </c>
      <c r="C20" s="68" t="s">
        <v>8</v>
      </c>
      <c r="D20" s="68" t="s">
        <v>12</v>
      </c>
      <c r="E20" s="68" t="s">
        <v>9</v>
      </c>
      <c r="F20" s="68" t="s">
        <v>10</v>
      </c>
      <c r="G20" s="68" t="s">
        <v>11</v>
      </c>
      <c r="H20" s="77" t="s">
        <v>64</v>
      </c>
      <c r="I20" s="77" t="s">
        <v>67</v>
      </c>
      <c r="J20" s="77" t="s">
        <v>61</v>
      </c>
      <c r="K20" s="77" t="s">
        <v>59</v>
      </c>
      <c r="L20" s="77" t="s">
        <v>26</v>
      </c>
      <c r="M20" s="77" t="s">
        <v>27</v>
      </c>
      <c r="N20" s="77" t="s">
        <v>28</v>
      </c>
      <c r="O20" s="77" t="s">
        <v>23</v>
      </c>
      <c r="P20" s="78" t="s">
        <v>22</v>
      </c>
      <c r="Q20" s="68" t="s">
        <v>14</v>
      </c>
      <c r="U20" s="79" t="s">
        <v>37</v>
      </c>
    </row>
    <row r="21" spans="1:21" s="54" customFormat="1" ht="12.95" customHeight="1" x14ac:dyDescent="0.2">
      <c r="A21" s="36" t="s">
        <v>45</v>
      </c>
      <c r="B21" s="37" t="s">
        <v>46</v>
      </c>
      <c r="C21" s="36">
        <v>53861.356299999999</v>
      </c>
      <c r="D21" s="36">
        <v>2.8999999999999998E-3</v>
      </c>
      <c r="E21" s="54">
        <f t="shared" ref="E21:E32" si="0">+(C21-C$7)/C$8</f>
        <v>0</v>
      </c>
      <c r="F21" s="54">
        <f t="shared" ref="F21:F32" si="1">ROUND(2*E21,0)/2</f>
        <v>0</v>
      </c>
      <c r="G21" s="54">
        <f t="shared" ref="G21:G32" si="2">+C21-(C$7+F21*C$8)</f>
        <v>0</v>
      </c>
      <c r="J21" s="54">
        <f>+G21</f>
        <v>0</v>
      </c>
      <c r="O21" s="54">
        <f t="shared" ref="O21:O32" ca="1" si="3">+C$11+C$12*$F21</f>
        <v>1.7503293035715926E-2</v>
      </c>
      <c r="Q21" s="80">
        <f t="shared" ref="Q21:Q32" si="4">+C21-15018.5</f>
        <v>38842.856299999999</v>
      </c>
    </row>
    <row r="22" spans="1:21" s="54" customFormat="1" ht="12.95" customHeight="1" x14ac:dyDescent="0.2">
      <c r="A22" s="36" t="s">
        <v>45</v>
      </c>
      <c r="B22" s="37" t="s">
        <v>46</v>
      </c>
      <c r="C22" s="36">
        <v>53861.5461</v>
      </c>
      <c r="D22" s="36">
        <v>1.6000000000000001E-3</v>
      </c>
      <c r="E22" s="54">
        <f t="shared" si="0"/>
        <v>0.51422378759172249</v>
      </c>
      <c r="F22" s="54">
        <f t="shared" si="1"/>
        <v>0.5</v>
      </c>
      <c r="G22" s="54">
        <f t="shared" si="2"/>
        <v>5.2500000019790605E-3</v>
      </c>
      <c r="J22" s="54">
        <f>+G22</f>
        <v>5.2500000019790605E-3</v>
      </c>
      <c r="O22" s="54">
        <f t="shared" ca="1" si="3"/>
        <v>1.7503576951837355E-2</v>
      </c>
      <c r="Q22" s="80">
        <f t="shared" si="4"/>
        <v>38843.0461</v>
      </c>
    </row>
    <row r="23" spans="1:21" s="54" customFormat="1" ht="12.95" customHeight="1" x14ac:dyDescent="0.2">
      <c r="A23" s="36" t="s">
        <v>47</v>
      </c>
      <c r="B23" s="37" t="s">
        <v>46</v>
      </c>
      <c r="C23" s="36">
        <v>55670.520900000003</v>
      </c>
      <c r="D23" s="36">
        <v>1.6000000000000001E-3</v>
      </c>
      <c r="E23" s="54">
        <f t="shared" si="0"/>
        <v>4901.5567596857327</v>
      </c>
      <c r="F23" s="54">
        <f t="shared" si="1"/>
        <v>4901.5</v>
      </c>
      <c r="G23" s="54">
        <f t="shared" si="2"/>
        <v>2.0950000005541369E-2</v>
      </c>
      <c r="J23" s="54">
        <f>+G23</f>
        <v>2.0950000005541369E-2</v>
      </c>
      <c r="O23" s="54">
        <f t="shared" ca="1" si="3"/>
        <v>2.0286522774074337E-2</v>
      </c>
      <c r="Q23" s="80">
        <f t="shared" si="4"/>
        <v>40652.020900000003</v>
      </c>
    </row>
    <row r="24" spans="1:21" s="54" customFormat="1" ht="12.95" customHeight="1" x14ac:dyDescent="0.2">
      <c r="A24" s="36" t="s">
        <v>47</v>
      </c>
      <c r="B24" s="37" t="s">
        <v>46</v>
      </c>
      <c r="C24" s="36">
        <v>55673.473299999998</v>
      </c>
      <c r="D24" s="36">
        <v>1.5E-3</v>
      </c>
      <c r="E24" s="54">
        <f t="shared" si="0"/>
        <v>4909.5556759685678</v>
      </c>
      <c r="F24" s="54">
        <f t="shared" si="1"/>
        <v>4909.5</v>
      </c>
      <c r="G24" s="54">
        <f t="shared" si="2"/>
        <v>2.0550000001094304E-2</v>
      </c>
      <c r="J24" s="54">
        <f>+G24</f>
        <v>2.0550000001094304E-2</v>
      </c>
      <c r="O24" s="54">
        <f t="shared" ca="1" si="3"/>
        <v>2.0291065432017186E-2</v>
      </c>
      <c r="Q24" s="80">
        <f t="shared" si="4"/>
        <v>40654.973299999998</v>
      </c>
    </row>
    <row r="25" spans="1:21" s="54" customFormat="1" ht="12.95" customHeight="1" x14ac:dyDescent="0.2">
      <c r="A25" s="36" t="s">
        <v>47</v>
      </c>
      <c r="B25" s="37" t="s">
        <v>46</v>
      </c>
      <c r="C25" s="36">
        <v>55705.4</v>
      </c>
      <c r="D25" s="36">
        <v>8.0000000000000004E-4</v>
      </c>
      <c r="E25" s="54">
        <f t="shared" si="0"/>
        <v>4996.0544567867846</v>
      </c>
      <c r="F25" s="54">
        <f t="shared" si="1"/>
        <v>4996</v>
      </c>
      <c r="G25" s="54">
        <f t="shared" si="2"/>
        <v>2.0100000001548324E-2</v>
      </c>
      <c r="J25" s="54">
        <f>+G25</f>
        <v>2.0100000001548324E-2</v>
      </c>
      <c r="O25" s="54">
        <f t="shared" ca="1" si="3"/>
        <v>2.0340182921024224E-2</v>
      </c>
      <c r="Q25" s="80">
        <f t="shared" si="4"/>
        <v>40686.9</v>
      </c>
    </row>
    <row r="26" spans="1:21" s="54" customFormat="1" ht="12.95" customHeight="1" x14ac:dyDescent="0.2">
      <c r="A26" s="81" t="s">
        <v>55</v>
      </c>
      <c r="B26" s="37" t="s">
        <v>46</v>
      </c>
      <c r="C26" s="36">
        <v>55707.42985</v>
      </c>
      <c r="D26" s="36">
        <v>1E-3</v>
      </c>
      <c r="E26" s="54">
        <f t="shared" si="0"/>
        <v>5001.5539149282067</v>
      </c>
      <c r="F26" s="54">
        <f t="shared" si="1"/>
        <v>5001.5</v>
      </c>
      <c r="G26" s="54">
        <f t="shared" si="2"/>
        <v>1.9899999999324791E-2</v>
      </c>
      <c r="K26" s="54">
        <f>+G26</f>
        <v>1.9899999999324791E-2</v>
      </c>
      <c r="O26" s="54">
        <f t="shared" ca="1" si="3"/>
        <v>2.0343305998359932E-2</v>
      </c>
      <c r="Q26" s="80">
        <f t="shared" si="4"/>
        <v>40688.92985</v>
      </c>
    </row>
    <row r="27" spans="1:21" s="54" customFormat="1" ht="12.95" customHeight="1" x14ac:dyDescent="0.2">
      <c r="A27" s="81" t="s">
        <v>55</v>
      </c>
      <c r="B27" s="37" t="s">
        <v>46</v>
      </c>
      <c r="C27" s="36">
        <v>55724.407709999999</v>
      </c>
      <c r="D27" s="36">
        <v>1E-3</v>
      </c>
      <c r="E27" s="54">
        <f t="shared" si="0"/>
        <v>5047.5519100514766</v>
      </c>
      <c r="F27" s="54">
        <f t="shared" si="1"/>
        <v>5047.5</v>
      </c>
      <c r="G27" s="54">
        <f t="shared" si="2"/>
        <v>1.9160000003466848E-2</v>
      </c>
      <c r="K27" s="54">
        <f>+G27</f>
        <v>1.9160000003466848E-2</v>
      </c>
      <c r="O27" s="54">
        <f t="shared" ca="1" si="3"/>
        <v>2.0369426281531305E-2</v>
      </c>
      <c r="Q27" s="80">
        <f t="shared" si="4"/>
        <v>40705.907709999999</v>
      </c>
    </row>
    <row r="28" spans="1:21" s="54" customFormat="1" ht="12.95" customHeight="1" x14ac:dyDescent="0.2">
      <c r="A28" s="81" t="s">
        <v>55</v>
      </c>
      <c r="B28" s="37" t="s">
        <v>46</v>
      </c>
      <c r="C28" s="36">
        <v>55749.507250000002</v>
      </c>
      <c r="D28" s="36">
        <v>5.0000000000000001E-4</v>
      </c>
      <c r="E28" s="54">
        <f t="shared" si="0"/>
        <v>5115.5539149282122</v>
      </c>
      <c r="F28" s="54">
        <f t="shared" si="1"/>
        <v>5115.5</v>
      </c>
      <c r="G28" s="54">
        <f t="shared" si="2"/>
        <v>1.9900000006600749E-2</v>
      </c>
      <c r="K28" s="54">
        <f>+G28</f>
        <v>1.9900000006600749E-2</v>
      </c>
      <c r="O28" s="54">
        <f t="shared" ca="1" si="3"/>
        <v>2.0408038874045509E-2</v>
      </c>
      <c r="Q28" s="80">
        <f t="shared" si="4"/>
        <v>40731.007250000002</v>
      </c>
    </row>
    <row r="29" spans="1:21" s="54" customFormat="1" ht="12.95" customHeight="1" x14ac:dyDescent="0.2">
      <c r="A29" s="82" t="s">
        <v>51</v>
      </c>
      <c r="B29" s="83" t="s">
        <v>52</v>
      </c>
      <c r="C29" s="84">
        <v>55825.3577</v>
      </c>
      <c r="D29" s="84">
        <v>8.0000000000000004E-4</v>
      </c>
      <c r="E29" s="54">
        <f t="shared" si="0"/>
        <v>5321.0549986453561</v>
      </c>
      <c r="F29" s="54">
        <f t="shared" si="1"/>
        <v>5321</v>
      </c>
      <c r="G29" s="54">
        <f t="shared" si="2"/>
        <v>2.0300000003771856E-2</v>
      </c>
      <c r="K29" s="54">
        <f>+G29</f>
        <v>2.0300000003771856E-2</v>
      </c>
      <c r="O29" s="54">
        <f t="shared" ca="1" si="3"/>
        <v>2.0524728399952407E-2</v>
      </c>
      <c r="Q29" s="80">
        <f t="shared" si="4"/>
        <v>40806.8577</v>
      </c>
    </row>
    <row r="30" spans="1:21" s="54" customFormat="1" ht="12.95" customHeight="1" x14ac:dyDescent="0.2">
      <c r="A30" s="81" t="s">
        <v>56</v>
      </c>
      <c r="B30" s="37" t="s">
        <v>46</v>
      </c>
      <c r="C30" s="36">
        <v>56062.506999999998</v>
      </c>
      <c r="D30" s="36">
        <v>2.5000000000000001E-3</v>
      </c>
      <c r="E30" s="54">
        <f t="shared" si="0"/>
        <v>5963.5619073421794</v>
      </c>
      <c r="F30" s="54">
        <f t="shared" si="1"/>
        <v>5963.5</v>
      </c>
      <c r="G30" s="54">
        <f t="shared" si="2"/>
        <v>2.2850000001199078E-2</v>
      </c>
      <c r="J30" s="54">
        <f>+G30</f>
        <v>2.2850000001199078E-2</v>
      </c>
      <c r="O30" s="54">
        <f t="shared" ca="1" si="3"/>
        <v>2.0889560615987353E-2</v>
      </c>
      <c r="Q30" s="80">
        <f t="shared" si="4"/>
        <v>41044.006999999998</v>
      </c>
    </row>
    <row r="31" spans="1:21" s="54" customFormat="1" ht="12.95" customHeight="1" x14ac:dyDescent="0.2">
      <c r="A31" s="85" t="s">
        <v>119</v>
      </c>
      <c r="B31" s="86" t="s">
        <v>46</v>
      </c>
      <c r="C31" s="87">
        <v>57516.392</v>
      </c>
      <c r="D31" s="92">
        <v>1E-3</v>
      </c>
      <c r="E31" s="54">
        <f t="shared" si="0"/>
        <v>9902.5621782714734</v>
      </c>
      <c r="F31" s="54">
        <f t="shared" si="1"/>
        <v>9902.5</v>
      </c>
      <c r="G31" s="54">
        <f t="shared" si="2"/>
        <v>2.2949999998672865E-2</v>
      </c>
      <c r="K31" s="54">
        <f>+G31</f>
        <v>2.2949999998672865E-2</v>
      </c>
      <c r="O31" s="54">
        <f t="shared" ca="1" si="3"/>
        <v>2.3126251820596917E-2</v>
      </c>
      <c r="Q31" s="80">
        <f t="shared" si="4"/>
        <v>42497.892</v>
      </c>
    </row>
    <row r="32" spans="1:21" s="54" customFormat="1" ht="12.95" customHeight="1" x14ac:dyDescent="0.2">
      <c r="A32" s="85" t="s">
        <v>119</v>
      </c>
      <c r="B32" s="86" t="s">
        <v>46</v>
      </c>
      <c r="C32" s="87">
        <v>57516.576699999998</v>
      </c>
      <c r="D32" s="92">
        <v>5.0000000000000001E-4</v>
      </c>
      <c r="E32" s="54">
        <f t="shared" si="0"/>
        <v>9903.0625846653984</v>
      </c>
      <c r="F32" s="54">
        <f t="shared" si="1"/>
        <v>9903</v>
      </c>
      <c r="G32" s="54">
        <f t="shared" si="2"/>
        <v>2.3099999998521525E-2</v>
      </c>
      <c r="K32" s="54">
        <f>+G32</f>
        <v>2.3099999998521525E-2</v>
      </c>
      <c r="O32" s="54">
        <f t="shared" ca="1" si="3"/>
        <v>2.3126535736718343E-2</v>
      </c>
      <c r="Q32" s="80">
        <f t="shared" si="4"/>
        <v>42498.076699999998</v>
      </c>
    </row>
    <row r="33" spans="1:17" s="54" customFormat="1" ht="12.95" customHeight="1" x14ac:dyDescent="0.2">
      <c r="A33" s="88" t="s">
        <v>120</v>
      </c>
      <c r="B33" s="89" t="s">
        <v>46</v>
      </c>
      <c r="C33" s="51">
        <v>59853.352599999867</v>
      </c>
      <c r="D33" s="62"/>
      <c r="E33" s="54">
        <f t="shared" ref="E33:E36" si="5">+(C33-C$7)/C$8</f>
        <v>16234.072879977968</v>
      </c>
      <c r="F33" s="54">
        <f t="shared" ref="F33:F36" si="6">ROUND(2*E33,0)/2</f>
        <v>16234</v>
      </c>
      <c r="G33" s="54">
        <f t="shared" ref="G33:G36" si="7">+C33-(C$7+F33*C$8)</f>
        <v>2.6899999866145663E-2</v>
      </c>
      <c r="K33" s="54">
        <f t="shared" ref="K33:K36" si="8">+G33</f>
        <v>2.6899999866145663E-2</v>
      </c>
      <c r="O33" s="54">
        <f t="shared" ref="O33:O36" ca="1" si="9">+C$11+C$12*$F33</f>
        <v>2.6721481666239326E-2</v>
      </c>
      <c r="Q33" s="80">
        <f t="shared" ref="Q33:Q36" si="10">+C33-15018.5</f>
        <v>44834.852599999867</v>
      </c>
    </row>
    <row r="34" spans="1:17" s="54" customFormat="1" ht="12.95" customHeight="1" x14ac:dyDescent="0.2">
      <c r="A34" s="88" t="s">
        <v>120</v>
      </c>
      <c r="B34" s="89" t="s">
        <v>46</v>
      </c>
      <c r="C34" s="51">
        <v>59856.305900000036</v>
      </c>
      <c r="D34" s="62"/>
      <c r="E34" s="54">
        <f t="shared" si="5"/>
        <v>16242.074234624863</v>
      </c>
      <c r="F34" s="54">
        <f t="shared" si="6"/>
        <v>16242</v>
      </c>
      <c r="G34" s="54">
        <f t="shared" si="7"/>
        <v>2.7400000035413541E-2</v>
      </c>
      <c r="K34" s="54">
        <f t="shared" si="8"/>
        <v>2.7400000035413541E-2</v>
      </c>
      <c r="O34" s="54">
        <f t="shared" ca="1" si="9"/>
        <v>2.6726024324182175E-2</v>
      </c>
      <c r="Q34" s="80">
        <f t="shared" si="10"/>
        <v>44837.805900000036</v>
      </c>
    </row>
    <row r="35" spans="1:17" s="54" customFormat="1" ht="12.95" customHeight="1" x14ac:dyDescent="0.2">
      <c r="A35" s="52" t="s">
        <v>120</v>
      </c>
      <c r="B35" s="53" t="s">
        <v>46</v>
      </c>
      <c r="C35" s="51">
        <v>59857.412599999923</v>
      </c>
      <c r="D35" s="62"/>
      <c r="E35" s="54">
        <f t="shared" si="5"/>
        <v>16245.072609048833</v>
      </c>
      <c r="F35" s="54">
        <f t="shared" si="6"/>
        <v>16245</v>
      </c>
      <c r="G35" s="54">
        <f t="shared" si="7"/>
        <v>2.6799999926879536E-2</v>
      </c>
      <c r="K35" s="54">
        <f t="shared" si="8"/>
        <v>2.6799999926879536E-2</v>
      </c>
      <c r="O35" s="54">
        <f t="shared" ca="1" si="9"/>
        <v>2.6727727820910742E-2</v>
      </c>
      <c r="Q35" s="80">
        <f t="shared" si="10"/>
        <v>44838.912599999923</v>
      </c>
    </row>
    <row r="36" spans="1:17" s="54" customFormat="1" ht="12.95" customHeight="1" x14ac:dyDescent="0.2">
      <c r="A36" s="88" t="s">
        <v>120</v>
      </c>
      <c r="B36" s="89" t="s">
        <v>46</v>
      </c>
      <c r="C36" s="51">
        <v>59858.334300000221</v>
      </c>
      <c r="D36" s="62"/>
      <c r="E36" s="54">
        <f t="shared" si="5"/>
        <v>16247.56976429212</v>
      </c>
      <c r="F36" s="54">
        <f t="shared" si="6"/>
        <v>16247.5</v>
      </c>
      <c r="G36" s="54">
        <f t="shared" si="7"/>
        <v>2.575000021897722E-2</v>
      </c>
      <c r="K36" s="54">
        <f t="shared" si="8"/>
        <v>2.575000021897722E-2</v>
      </c>
      <c r="O36" s="54">
        <f t="shared" ca="1" si="9"/>
        <v>2.6729147401517883E-2</v>
      </c>
      <c r="Q36" s="80">
        <f t="shared" si="10"/>
        <v>44839.834300000221</v>
      </c>
    </row>
    <row r="37" spans="1:17" s="54" customFormat="1" ht="12.95" customHeight="1" x14ac:dyDescent="0.2">
      <c r="C37" s="62"/>
      <c r="D37" s="62"/>
    </row>
    <row r="38" spans="1:17" s="54" customFormat="1" ht="12.95" customHeight="1" x14ac:dyDescent="0.2">
      <c r="C38" s="62"/>
      <c r="D38" s="62"/>
    </row>
    <row r="39" spans="1:17" s="54" customFormat="1" ht="12.95" customHeight="1" x14ac:dyDescent="0.2">
      <c r="C39" s="62"/>
      <c r="D39" s="62"/>
    </row>
    <row r="40" spans="1:17" s="54" customFormat="1" ht="12.95" customHeight="1" x14ac:dyDescent="0.2">
      <c r="C40" s="62"/>
      <c r="D40" s="62"/>
    </row>
    <row r="41" spans="1:17" s="54" customFormat="1" ht="12.95" customHeight="1" x14ac:dyDescent="0.2">
      <c r="C41" s="62"/>
      <c r="D41" s="62"/>
    </row>
    <row r="42" spans="1:17" s="54" customFormat="1" ht="12.95" customHeight="1" x14ac:dyDescent="0.2">
      <c r="C42" s="62"/>
      <c r="D42" s="62"/>
    </row>
    <row r="43" spans="1:17" s="54" customFormat="1" ht="12.95" customHeight="1" x14ac:dyDescent="0.2">
      <c r="C43" s="62"/>
      <c r="D43" s="62"/>
    </row>
    <row r="44" spans="1:17" s="54" customFormat="1" ht="12.95" customHeight="1" x14ac:dyDescent="0.2">
      <c r="C44" s="62"/>
      <c r="D44" s="62"/>
    </row>
    <row r="45" spans="1:17" s="54" customFormat="1" ht="12.95" customHeight="1" x14ac:dyDescent="0.2">
      <c r="C45" s="62"/>
      <c r="D45" s="62"/>
    </row>
    <row r="46" spans="1:17" s="54" customFormat="1" ht="12.95" customHeight="1" x14ac:dyDescent="0.2">
      <c r="C46" s="62"/>
      <c r="D46" s="62"/>
    </row>
    <row r="47" spans="1:17" s="54" customFormat="1" ht="12.95" customHeight="1" x14ac:dyDescent="0.2">
      <c r="C47" s="62"/>
      <c r="D47" s="62"/>
    </row>
    <row r="48" spans="1:17" s="54" customFormat="1" ht="12.95" customHeight="1" x14ac:dyDescent="0.2">
      <c r="C48" s="62"/>
      <c r="D48" s="62"/>
    </row>
    <row r="49" spans="3:4" s="54" customFormat="1" ht="12.95" customHeight="1" x14ac:dyDescent="0.2">
      <c r="C49" s="62"/>
      <c r="D49" s="62"/>
    </row>
    <row r="50" spans="3:4" s="54" customFormat="1" ht="12.95" customHeight="1" x14ac:dyDescent="0.2">
      <c r="C50" s="62"/>
      <c r="D50" s="62"/>
    </row>
    <row r="51" spans="3:4" s="54" customFormat="1" ht="12.95" customHeight="1" x14ac:dyDescent="0.2">
      <c r="C51" s="62"/>
      <c r="D51" s="62"/>
    </row>
    <row r="52" spans="3:4" s="54" customFormat="1" ht="12.95" customHeight="1" x14ac:dyDescent="0.2">
      <c r="C52" s="62"/>
      <c r="D52" s="62"/>
    </row>
    <row r="53" spans="3:4" s="54" customFormat="1" ht="12.95" customHeight="1" x14ac:dyDescent="0.2">
      <c r="C53" s="62"/>
      <c r="D53" s="62"/>
    </row>
    <row r="54" spans="3:4" s="54" customFormat="1" ht="12.95" customHeight="1" x14ac:dyDescent="0.2">
      <c r="C54" s="62"/>
      <c r="D54" s="62"/>
    </row>
    <row r="55" spans="3:4" s="54" customFormat="1" ht="12.95" customHeight="1" x14ac:dyDescent="0.2">
      <c r="C55" s="62"/>
      <c r="D55" s="62"/>
    </row>
    <row r="56" spans="3:4" s="54" customFormat="1" ht="12.95" customHeight="1" x14ac:dyDescent="0.2">
      <c r="C56" s="62"/>
      <c r="D56" s="62"/>
    </row>
    <row r="57" spans="3:4" s="54" customFormat="1" ht="12.95" customHeight="1" x14ac:dyDescent="0.2">
      <c r="C57" s="62"/>
      <c r="D57" s="62"/>
    </row>
    <row r="58" spans="3:4" s="54" customFormat="1" ht="12.95" customHeight="1" x14ac:dyDescent="0.2">
      <c r="C58" s="62"/>
      <c r="D58" s="62"/>
    </row>
    <row r="59" spans="3:4" s="54" customFormat="1" ht="12.95" customHeight="1" x14ac:dyDescent="0.2">
      <c r="C59" s="62"/>
      <c r="D59" s="62"/>
    </row>
    <row r="60" spans="3:4" s="54" customFormat="1" ht="12.95" customHeight="1" x14ac:dyDescent="0.2">
      <c r="C60" s="62"/>
      <c r="D60" s="62"/>
    </row>
    <row r="61" spans="3:4" s="54" customFormat="1" ht="12.95" customHeight="1" x14ac:dyDescent="0.2">
      <c r="C61" s="62"/>
      <c r="D61" s="62"/>
    </row>
    <row r="62" spans="3:4" s="54" customFormat="1" ht="12.95" customHeight="1" x14ac:dyDescent="0.2">
      <c r="C62" s="62"/>
      <c r="D62" s="62"/>
    </row>
    <row r="63" spans="3:4" s="54" customFormat="1" ht="12.95" customHeight="1" x14ac:dyDescent="0.2">
      <c r="C63" s="62"/>
      <c r="D63" s="62"/>
    </row>
    <row r="64" spans="3:4" s="54" customFormat="1" ht="12.95" customHeight="1" x14ac:dyDescent="0.2">
      <c r="C64" s="62"/>
      <c r="D64" s="62"/>
    </row>
    <row r="65" spans="3:4" s="54" customFormat="1" ht="12.95" customHeight="1" x14ac:dyDescent="0.2">
      <c r="C65" s="62"/>
      <c r="D65" s="62"/>
    </row>
    <row r="66" spans="3:4" s="54" customFormat="1" ht="12.95" customHeight="1" x14ac:dyDescent="0.2">
      <c r="C66" s="62"/>
      <c r="D66" s="62"/>
    </row>
    <row r="67" spans="3:4" s="54" customFormat="1" ht="12.95" customHeight="1" x14ac:dyDescent="0.2">
      <c r="C67" s="62"/>
      <c r="D67" s="62"/>
    </row>
    <row r="68" spans="3:4" s="54" customFormat="1" ht="12.95" customHeight="1" x14ac:dyDescent="0.2">
      <c r="C68" s="62"/>
      <c r="D68" s="62"/>
    </row>
    <row r="69" spans="3:4" s="54" customFormat="1" ht="12.95" customHeight="1" x14ac:dyDescent="0.2">
      <c r="C69" s="62"/>
      <c r="D69" s="62"/>
    </row>
    <row r="70" spans="3:4" s="54" customFormat="1" ht="12.95" customHeight="1" x14ac:dyDescent="0.2">
      <c r="C70" s="62"/>
      <c r="D70" s="62"/>
    </row>
    <row r="71" spans="3:4" s="54" customFormat="1" ht="12.95" customHeight="1" x14ac:dyDescent="0.2">
      <c r="C71" s="62"/>
      <c r="D71" s="62"/>
    </row>
    <row r="72" spans="3:4" s="54" customFormat="1" ht="12.95" customHeight="1" x14ac:dyDescent="0.2">
      <c r="C72" s="62"/>
      <c r="D72" s="62"/>
    </row>
    <row r="73" spans="3:4" s="54" customFormat="1" ht="12.95" customHeight="1" x14ac:dyDescent="0.2">
      <c r="C73" s="62"/>
      <c r="D73" s="62"/>
    </row>
    <row r="74" spans="3:4" s="54" customFormat="1" ht="12.95" customHeight="1" x14ac:dyDescent="0.2">
      <c r="C74" s="62"/>
      <c r="D74" s="62"/>
    </row>
    <row r="75" spans="3:4" s="54" customFormat="1" ht="12.95" customHeight="1" x14ac:dyDescent="0.2">
      <c r="C75" s="62"/>
      <c r="D75" s="62"/>
    </row>
    <row r="76" spans="3:4" s="54" customFormat="1" ht="12.95" customHeight="1" x14ac:dyDescent="0.2">
      <c r="C76" s="62"/>
      <c r="D76" s="62"/>
    </row>
    <row r="77" spans="3:4" s="54" customFormat="1" ht="12.95" customHeight="1" x14ac:dyDescent="0.2">
      <c r="C77" s="62"/>
      <c r="D77" s="62"/>
    </row>
    <row r="78" spans="3:4" s="54" customFormat="1" ht="12.95" customHeight="1" x14ac:dyDescent="0.2">
      <c r="C78" s="62"/>
      <c r="D78" s="62"/>
    </row>
    <row r="79" spans="3:4" s="54" customFormat="1" ht="12.95" customHeight="1" x14ac:dyDescent="0.2">
      <c r="C79" s="62"/>
      <c r="D79" s="62"/>
    </row>
    <row r="80" spans="3:4" s="54" customFormat="1" ht="12.95" customHeight="1" x14ac:dyDescent="0.2">
      <c r="C80" s="62"/>
      <c r="D80" s="62"/>
    </row>
    <row r="81" spans="3:4" s="54" customFormat="1" ht="12.95" customHeight="1" x14ac:dyDescent="0.2">
      <c r="C81" s="62"/>
      <c r="D81" s="62"/>
    </row>
    <row r="82" spans="3:4" s="54" customFormat="1" ht="12.95" customHeight="1" x14ac:dyDescent="0.2">
      <c r="C82" s="62"/>
      <c r="D82" s="62"/>
    </row>
    <row r="83" spans="3:4" s="54" customFormat="1" ht="12.95" customHeight="1" x14ac:dyDescent="0.2">
      <c r="C83" s="62"/>
      <c r="D83" s="62"/>
    </row>
    <row r="84" spans="3:4" s="54" customFormat="1" ht="12.95" customHeight="1" x14ac:dyDescent="0.2">
      <c r="C84" s="62"/>
      <c r="D84" s="62"/>
    </row>
    <row r="85" spans="3:4" s="54" customFormat="1" ht="12.95" customHeight="1" x14ac:dyDescent="0.2">
      <c r="C85" s="62"/>
      <c r="D85" s="62"/>
    </row>
    <row r="86" spans="3:4" s="54" customFormat="1" ht="12.95" customHeight="1" x14ac:dyDescent="0.2">
      <c r="C86" s="62"/>
      <c r="D86" s="62"/>
    </row>
    <row r="87" spans="3:4" s="54" customFormat="1" ht="12.95" customHeight="1" x14ac:dyDescent="0.2">
      <c r="C87" s="62"/>
      <c r="D87" s="62"/>
    </row>
    <row r="88" spans="3:4" s="54" customFormat="1" ht="12.95" customHeight="1" x14ac:dyDescent="0.2">
      <c r="C88" s="62"/>
      <c r="D88" s="62"/>
    </row>
    <row r="89" spans="3:4" s="54" customFormat="1" ht="12.95" customHeight="1" x14ac:dyDescent="0.2">
      <c r="C89" s="62"/>
      <c r="D89" s="62"/>
    </row>
    <row r="90" spans="3:4" s="54" customFormat="1" ht="12.95" customHeight="1" x14ac:dyDescent="0.2">
      <c r="C90" s="62"/>
      <c r="D90" s="62"/>
    </row>
    <row r="91" spans="3:4" s="54" customFormat="1" ht="12.95" customHeight="1" x14ac:dyDescent="0.2">
      <c r="C91" s="62"/>
      <c r="D91" s="62"/>
    </row>
    <row r="92" spans="3:4" s="54" customFormat="1" ht="12.95" customHeight="1" x14ac:dyDescent="0.2">
      <c r="C92" s="62"/>
      <c r="D92" s="62"/>
    </row>
    <row r="93" spans="3:4" s="54" customFormat="1" ht="12.95" customHeight="1" x14ac:dyDescent="0.2">
      <c r="C93" s="62"/>
      <c r="D93" s="62"/>
    </row>
    <row r="94" spans="3:4" s="54" customFormat="1" ht="12.95" customHeight="1" x14ac:dyDescent="0.2">
      <c r="C94" s="62"/>
      <c r="D94" s="62"/>
    </row>
    <row r="95" spans="3:4" s="54" customFormat="1" ht="12.95" customHeight="1" x14ac:dyDescent="0.2">
      <c r="C95" s="62"/>
      <c r="D95" s="62"/>
    </row>
    <row r="96" spans="3:4" s="54" customFormat="1" ht="12.95" customHeight="1" x14ac:dyDescent="0.2">
      <c r="C96" s="62"/>
      <c r="D96" s="62"/>
    </row>
    <row r="97" spans="3:4" s="54" customFormat="1" ht="12.95" customHeight="1" x14ac:dyDescent="0.2">
      <c r="C97" s="62"/>
      <c r="D97" s="62"/>
    </row>
    <row r="98" spans="3:4" s="54" customFormat="1" ht="12.95" customHeight="1" x14ac:dyDescent="0.2">
      <c r="C98" s="62"/>
      <c r="D98" s="62"/>
    </row>
    <row r="99" spans="3:4" s="54" customFormat="1" ht="12.95" customHeight="1" x14ac:dyDescent="0.2">
      <c r="C99" s="62"/>
      <c r="D99" s="62"/>
    </row>
    <row r="100" spans="3:4" s="54" customFormat="1" ht="12.95" customHeight="1" x14ac:dyDescent="0.2">
      <c r="C100" s="62"/>
      <c r="D100" s="62"/>
    </row>
    <row r="101" spans="3:4" s="54" customFormat="1" ht="12.95" customHeight="1" x14ac:dyDescent="0.2">
      <c r="C101" s="62"/>
      <c r="D101" s="62"/>
    </row>
    <row r="102" spans="3:4" s="54" customFormat="1" ht="12.95" customHeight="1" x14ac:dyDescent="0.2">
      <c r="C102" s="62"/>
      <c r="D102" s="62"/>
    </row>
    <row r="103" spans="3:4" s="54" customFormat="1" ht="12.95" customHeight="1" x14ac:dyDescent="0.2">
      <c r="C103" s="62"/>
      <c r="D103" s="62"/>
    </row>
    <row r="104" spans="3:4" s="54" customFormat="1" ht="12.95" customHeight="1" x14ac:dyDescent="0.2">
      <c r="C104" s="62"/>
      <c r="D104" s="62"/>
    </row>
    <row r="105" spans="3:4" s="54" customFormat="1" ht="12.95" customHeight="1" x14ac:dyDescent="0.2">
      <c r="C105" s="62"/>
      <c r="D105" s="62"/>
    </row>
    <row r="106" spans="3:4" s="54" customFormat="1" ht="12.95" customHeight="1" x14ac:dyDescent="0.2">
      <c r="C106" s="62"/>
      <c r="D106" s="62"/>
    </row>
    <row r="107" spans="3:4" s="54" customFormat="1" ht="12.95" customHeight="1" x14ac:dyDescent="0.2">
      <c r="C107" s="62"/>
      <c r="D107" s="62"/>
    </row>
    <row r="108" spans="3:4" s="54" customFormat="1" ht="12.95" customHeight="1" x14ac:dyDescent="0.2">
      <c r="C108" s="62"/>
      <c r="D108" s="62"/>
    </row>
    <row r="109" spans="3:4" s="54" customFormat="1" ht="12.95" customHeight="1" x14ac:dyDescent="0.2">
      <c r="C109" s="62"/>
      <c r="D109" s="62"/>
    </row>
    <row r="110" spans="3:4" s="54" customFormat="1" ht="12.95" customHeight="1" x14ac:dyDescent="0.2">
      <c r="C110" s="62"/>
      <c r="D110" s="62"/>
    </row>
    <row r="111" spans="3:4" s="54" customFormat="1" ht="12.95" customHeight="1" x14ac:dyDescent="0.2">
      <c r="C111" s="62"/>
      <c r="D111" s="62"/>
    </row>
    <row r="112" spans="3:4" s="54" customFormat="1" ht="12.95" customHeight="1" x14ac:dyDescent="0.2">
      <c r="C112" s="62"/>
      <c r="D112" s="62"/>
    </row>
    <row r="113" spans="3:4" s="54" customFormat="1" ht="12.95" customHeight="1" x14ac:dyDescent="0.2">
      <c r="C113" s="62"/>
      <c r="D113" s="62"/>
    </row>
    <row r="114" spans="3:4" s="54" customFormat="1" ht="12.95" customHeight="1" x14ac:dyDescent="0.2">
      <c r="C114" s="62"/>
      <c r="D114" s="62"/>
    </row>
    <row r="115" spans="3:4" s="54" customFormat="1" ht="12.95" customHeight="1" x14ac:dyDescent="0.2">
      <c r="C115" s="62"/>
      <c r="D115" s="62"/>
    </row>
    <row r="116" spans="3:4" s="54" customFormat="1" ht="12.95" customHeight="1" x14ac:dyDescent="0.2">
      <c r="C116" s="62"/>
      <c r="D116" s="62"/>
    </row>
    <row r="117" spans="3:4" s="54" customFormat="1" ht="12.95" customHeight="1" x14ac:dyDescent="0.2">
      <c r="C117" s="62"/>
      <c r="D117" s="62"/>
    </row>
    <row r="118" spans="3:4" s="54" customFormat="1" ht="12.95" customHeight="1" x14ac:dyDescent="0.2">
      <c r="C118" s="62"/>
      <c r="D118" s="62"/>
    </row>
    <row r="119" spans="3:4" s="54" customFormat="1" ht="12.95" customHeight="1" x14ac:dyDescent="0.2">
      <c r="C119" s="62"/>
      <c r="D119" s="62"/>
    </row>
    <row r="120" spans="3:4" s="54" customFormat="1" ht="12.95" customHeight="1" x14ac:dyDescent="0.2">
      <c r="C120" s="62"/>
      <c r="D120" s="62"/>
    </row>
    <row r="121" spans="3:4" s="54" customFormat="1" ht="12.95" customHeight="1" x14ac:dyDescent="0.2">
      <c r="C121" s="62"/>
      <c r="D121" s="62"/>
    </row>
    <row r="122" spans="3:4" s="54" customFormat="1" ht="12.95" customHeight="1" x14ac:dyDescent="0.2">
      <c r="C122" s="62"/>
      <c r="D122" s="62"/>
    </row>
    <row r="123" spans="3:4" s="54" customFormat="1" ht="12.95" customHeight="1" x14ac:dyDescent="0.2">
      <c r="C123" s="62"/>
      <c r="D123" s="62"/>
    </row>
    <row r="124" spans="3:4" s="54" customFormat="1" ht="12.95" customHeight="1" x14ac:dyDescent="0.2">
      <c r="C124" s="62"/>
      <c r="D124" s="62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939"/>
  <sheetViews>
    <sheetView workbookViewId="0"/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24</v>
      </c>
      <c r="B2" t="s">
        <v>44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31">
        <v>53861.356299999999</v>
      </c>
      <c r="D7" s="30" t="s">
        <v>42</v>
      </c>
    </row>
    <row r="8" spans="1:7" x14ac:dyDescent="0.2">
      <c r="A8" t="s">
        <v>3</v>
      </c>
      <c r="C8" s="8">
        <v>0.56000000000000005</v>
      </c>
      <c r="D8" s="30" t="s">
        <v>42</v>
      </c>
    </row>
    <row r="9" spans="1:7" x14ac:dyDescent="0.2">
      <c r="A9" s="9" t="s">
        <v>31</v>
      </c>
      <c r="B9" s="10"/>
      <c r="C9" s="11">
        <v>8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INTERCEPT(INDIRECT($G$11):G991,INDIRECT($F$11):F991)</f>
        <v>-4.6831727958274713E-2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SLOPE(INDIRECT($G$11):G991,INDIRECT($F$11):F991)</f>
        <v>2.091583385473387E-5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60359.578405902779</v>
      </c>
    </row>
    <row r="15" spans="1:7" x14ac:dyDescent="0.2">
      <c r="A15" s="12" t="s">
        <v>17</v>
      </c>
      <c r="B15" s="10"/>
      <c r="C15" s="13">
        <f ca="1">(C7+C11)+(C8+C12)*INT(MAX(F21:F3532))</f>
        <v>55825.302820101366</v>
      </c>
      <c r="D15" s="14" t="s">
        <v>39</v>
      </c>
      <c r="E15" s="15">
        <f ca="1">ROUND(2*(E14-$C$7)/$C$8,0)/2+E13</f>
        <v>11605</v>
      </c>
    </row>
    <row r="16" spans="1:7" x14ac:dyDescent="0.2">
      <c r="A16" s="16" t="s">
        <v>4</v>
      </c>
      <c r="B16" s="10"/>
      <c r="C16" s="17">
        <f ca="1">+C8+C12</f>
        <v>0.56002091583385483</v>
      </c>
      <c r="D16" s="14" t="s">
        <v>40</v>
      </c>
      <c r="E16" s="24">
        <f ca="1">ROUND(2*(E14-$C$15)/$C$16,0)/2+E13</f>
        <v>8097.5</v>
      </c>
    </row>
    <row r="17" spans="1:18" ht="13.5" thickBot="1" x14ac:dyDescent="0.25">
      <c r="A17" s="14" t="s">
        <v>30</v>
      </c>
      <c r="B17" s="10"/>
      <c r="C17" s="10">
        <f>COUNT(C21:C2190)</f>
        <v>6</v>
      </c>
      <c r="D17" s="14" t="s">
        <v>34</v>
      </c>
      <c r="E17" s="18">
        <f ca="1">+$C$15+$C$16*E16-15018.5-$C$9/24</f>
        <v>45341.238852732669</v>
      </c>
    </row>
    <row r="18" spans="1:18" ht="14.25" thickTop="1" thickBot="1" x14ac:dyDescent="0.25">
      <c r="A18" s="16" t="s">
        <v>5</v>
      </c>
      <c r="B18" s="10"/>
      <c r="C18" s="19">
        <f ca="1">+C15</f>
        <v>55825.302820101366</v>
      </c>
      <c r="D18" s="20">
        <f ca="1">+C16</f>
        <v>0.56002091583385483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53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s="31" t="s">
        <v>45</v>
      </c>
      <c r="B21" s="32" t="s">
        <v>46</v>
      </c>
      <c r="C21" s="31">
        <v>53861.356299999999</v>
      </c>
      <c r="D21" s="31">
        <v>2.8999999999999998E-3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 t="shared" ref="H21:H26" si="3">+G21</f>
        <v>0</v>
      </c>
      <c r="O21">
        <f t="shared" ref="O21:O26" ca="1" si="4">+C$11+C$12*$F21</f>
        <v>-4.6831727958274713E-2</v>
      </c>
      <c r="Q21" s="2">
        <f t="shared" ref="Q21:Q26" si="5">+C21-15018.5</f>
        <v>38842.856299999999</v>
      </c>
    </row>
    <row r="22" spans="1:18" x14ac:dyDescent="0.2">
      <c r="A22" s="31" t="s">
        <v>45</v>
      </c>
      <c r="B22" s="32" t="s">
        <v>46</v>
      </c>
      <c r="C22" s="31">
        <v>53861.5461</v>
      </c>
      <c r="D22" s="31">
        <v>1.6000000000000001E-3</v>
      </c>
      <c r="E22">
        <f t="shared" si="0"/>
        <v>0.33892857142875848</v>
      </c>
      <c r="F22">
        <f t="shared" si="1"/>
        <v>0.5</v>
      </c>
      <c r="G22">
        <f t="shared" si="2"/>
        <v>-9.0199999998731073E-2</v>
      </c>
      <c r="H22">
        <f t="shared" si="3"/>
        <v>-9.0199999998731073E-2</v>
      </c>
      <c r="O22">
        <f t="shared" ca="1" si="4"/>
        <v>-4.6821270041347347E-2</v>
      </c>
      <c r="Q22" s="2">
        <f t="shared" si="5"/>
        <v>38843.0461</v>
      </c>
    </row>
    <row r="23" spans="1:18" x14ac:dyDescent="0.2">
      <c r="A23" s="31" t="s">
        <v>47</v>
      </c>
      <c r="B23" s="32" t="s">
        <v>46</v>
      </c>
      <c r="C23" s="31">
        <v>55670.520900000003</v>
      </c>
      <c r="D23" s="31" t="s">
        <v>48</v>
      </c>
      <c r="E23">
        <f t="shared" si="0"/>
        <v>3230.6510714285778</v>
      </c>
      <c r="F23">
        <f t="shared" si="1"/>
        <v>3230.5</v>
      </c>
      <c r="G23">
        <f t="shared" si="2"/>
        <v>8.4600000001955777E-2</v>
      </c>
      <c r="H23">
        <f t="shared" si="3"/>
        <v>8.4600000001955777E-2</v>
      </c>
      <c r="O23">
        <f t="shared" ca="1" si="4"/>
        <v>2.0736873309443057E-2</v>
      </c>
      <c r="Q23" s="2">
        <f t="shared" si="5"/>
        <v>40652.020900000003</v>
      </c>
    </row>
    <row r="24" spans="1:18" x14ac:dyDescent="0.2">
      <c r="A24" s="31" t="s">
        <v>47</v>
      </c>
      <c r="B24" s="32" t="s">
        <v>46</v>
      </c>
      <c r="C24" s="31">
        <v>55673.473299999998</v>
      </c>
      <c r="D24" s="31" t="s">
        <v>49</v>
      </c>
      <c r="E24">
        <f t="shared" si="0"/>
        <v>3235.9232142857109</v>
      </c>
      <c r="F24">
        <f t="shared" si="1"/>
        <v>3236</v>
      </c>
      <c r="G24">
        <f t="shared" si="2"/>
        <v>-4.3000000005122274E-2</v>
      </c>
      <c r="H24">
        <f t="shared" si="3"/>
        <v>-4.3000000005122274E-2</v>
      </c>
      <c r="O24">
        <f t="shared" ca="1" si="4"/>
        <v>2.0851910395644088E-2</v>
      </c>
      <c r="Q24" s="2">
        <f t="shared" si="5"/>
        <v>40654.973299999998</v>
      </c>
    </row>
    <row r="25" spans="1:18" x14ac:dyDescent="0.2">
      <c r="A25" s="31" t="s">
        <v>47</v>
      </c>
      <c r="B25" s="32" t="s">
        <v>46</v>
      </c>
      <c r="C25" s="31">
        <v>55705.4</v>
      </c>
      <c r="D25" s="31" t="s">
        <v>50</v>
      </c>
      <c r="E25">
        <f t="shared" si="0"/>
        <v>3292.9351785714316</v>
      </c>
      <c r="F25">
        <f t="shared" si="1"/>
        <v>3293</v>
      </c>
      <c r="G25">
        <f t="shared" si="2"/>
        <v>-3.6299999999755528E-2</v>
      </c>
      <c r="H25">
        <f t="shared" si="3"/>
        <v>-3.6299999999755528E-2</v>
      </c>
      <c r="O25">
        <f t="shared" ca="1" si="4"/>
        <v>2.2044112925363915E-2</v>
      </c>
      <c r="Q25" s="2">
        <f t="shared" si="5"/>
        <v>40686.9</v>
      </c>
    </row>
    <row r="26" spans="1:18" x14ac:dyDescent="0.2">
      <c r="A26" s="33" t="s">
        <v>51</v>
      </c>
      <c r="B26" s="34" t="s">
        <v>52</v>
      </c>
      <c r="C26" s="35">
        <v>55825.3577</v>
      </c>
      <c r="D26" s="35">
        <v>8.0000000000000004E-4</v>
      </c>
      <c r="E26">
        <f t="shared" si="0"/>
        <v>3507.1453571428588</v>
      </c>
      <c r="F26">
        <f t="shared" si="1"/>
        <v>3507</v>
      </c>
      <c r="G26">
        <f t="shared" si="2"/>
        <v>8.1400000002759043E-2</v>
      </c>
      <c r="H26">
        <f t="shared" si="3"/>
        <v>8.1400000002759043E-2</v>
      </c>
      <c r="O26">
        <f t="shared" ca="1" si="4"/>
        <v>2.6520101370276966E-2</v>
      </c>
      <c r="Q26" s="2">
        <f t="shared" si="5"/>
        <v>40806.8577</v>
      </c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11"/>
  <sheetViews>
    <sheetView workbookViewId="0">
      <selection activeCell="A11" sqref="A11:IV448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57</v>
      </c>
      <c r="I1" s="39" t="s">
        <v>58</v>
      </c>
      <c r="J1" s="40" t="s">
        <v>59</v>
      </c>
    </row>
    <row r="2" spans="1:16" x14ac:dyDescent="0.2">
      <c r="I2" s="41" t="s">
        <v>60</v>
      </c>
      <c r="J2" s="42" t="s">
        <v>61</v>
      </c>
    </row>
    <row r="3" spans="1:16" x14ac:dyDescent="0.2">
      <c r="A3" s="43" t="s">
        <v>62</v>
      </c>
      <c r="I3" s="41" t="s">
        <v>63</v>
      </c>
      <c r="J3" s="42" t="s">
        <v>64</v>
      </c>
    </row>
    <row r="4" spans="1:16" x14ac:dyDescent="0.2">
      <c r="I4" s="41" t="s">
        <v>65</v>
      </c>
      <c r="J4" s="42" t="s">
        <v>64</v>
      </c>
    </row>
    <row r="5" spans="1:16" ht="13.5" thickBot="1" x14ac:dyDescent="0.25">
      <c r="I5" s="44" t="s">
        <v>66</v>
      </c>
      <c r="J5" s="45" t="s">
        <v>67</v>
      </c>
    </row>
    <row r="10" spans="1:16" ht="13.5" thickBot="1" x14ac:dyDescent="0.25"/>
    <row r="11" spans="1:16" ht="12.75" customHeight="1" thickBot="1" x14ac:dyDescent="0.25">
      <c r="A11" s="8" t="str">
        <f t="shared" ref="A11:A20" si="0">P11</f>
        <v>BAVM 178 </v>
      </c>
      <c r="B11" s="3" t="str">
        <f t="shared" ref="B11:B20" si="1">IF(H11=INT(H11),"I","II")</f>
        <v>II</v>
      </c>
      <c r="C11" s="8">
        <f t="shared" ref="C11:C20" si="2">1*G11</f>
        <v>53861.356299999999</v>
      </c>
      <c r="D11" s="10" t="str">
        <f t="shared" ref="D11:D20" si="3">VLOOKUP(F11,I$1:J$5,2,FALSE)</f>
        <v>vis</v>
      </c>
      <c r="E11" s="46">
        <f>VLOOKUP(C11,Active!C$21:E$973,3,FALSE)</f>
        <v>0</v>
      </c>
      <c r="F11" s="3" t="s">
        <v>66</v>
      </c>
      <c r="G11" s="10" t="str">
        <f t="shared" ref="G11:G20" si="4">MID(I11,3,LEN(I11)-3)</f>
        <v>53861.3563</v>
      </c>
      <c r="H11" s="8">
        <f t="shared" ref="H11:H20" si="5">1*K11</f>
        <v>3005.5</v>
      </c>
      <c r="I11" s="47" t="s">
        <v>68</v>
      </c>
      <c r="J11" s="48" t="s">
        <v>69</v>
      </c>
      <c r="K11" s="47">
        <v>3005.5</v>
      </c>
      <c r="L11" s="47" t="s">
        <v>70</v>
      </c>
      <c r="M11" s="48" t="s">
        <v>71</v>
      </c>
      <c r="N11" s="48" t="s">
        <v>72</v>
      </c>
      <c r="O11" s="49" t="s">
        <v>73</v>
      </c>
      <c r="P11" s="50" t="s">
        <v>74</v>
      </c>
    </row>
    <row r="12" spans="1:16" ht="12.75" customHeight="1" thickBot="1" x14ac:dyDescent="0.25">
      <c r="A12" s="8" t="str">
        <f t="shared" si="0"/>
        <v>BAVM 178 </v>
      </c>
      <c r="B12" s="3" t="str">
        <f t="shared" si="1"/>
        <v>I</v>
      </c>
      <c r="C12" s="8">
        <f t="shared" si="2"/>
        <v>53861.5461</v>
      </c>
      <c r="D12" s="10" t="str">
        <f t="shared" si="3"/>
        <v>vis</v>
      </c>
      <c r="E12" s="46">
        <f>VLOOKUP(C12,Active!C$21:E$973,3,FALSE)</f>
        <v>0.51422378759172249</v>
      </c>
      <c r="F12" s="3" t="s">
        <v>66</v>
      </c>
      <c r="G12" s="10" t="str">
        <f t="shared" si="4"/>
        <v>53861.5461</v>
      </c>
      <c r="H12" s="8">
        <f t="shared" si="5"/>
        <v>3006</v>
      </c>
      <c r="I12" s="47" t="s">
        <v>75</v>
      </c>
      <c r="J12" s="48" t="s">
        <v>76</v>
      </c>
      <c r="K12" s="47" t="s">
        <v>77</v>
      </c>
      <c r="L12" s="47" t="s">
        <v>78</v>
      </c>
      <c r="M12" s="48" t="s">
        <v>71</v>
      </c>
      <c r="N12" s="48" t="s">
        <v>72</v>
      </c>
      <c r="O12" s="49" t="s">
        <v>73</v>
      </c>
      <c r="P12" s="50" t="s">
        <v>74</v>
      </c>
    </row>
    <row r="13" spans="1:16" ht="12.75" customHeight="1" thickBot="1" x14ac:dyDescent="0.25">
      <c r="A13" s="8" t="str">
        <f t="shared" si="0"/>
        <v>BAVM 220 </v>
      </c>
      <c r="B13" s="3" t="str">
        <f t="shared" si="1"/>
        <v>II</v>
      </c>
      <c r="C13" s="8">
        <f t="shared" si="2"/>
        <v>55670.520900000003</v>
      </c>
      <c r="D13" s="10" t="str">
        <f t="shared" si="3"/>
        <v>vis</v>
      </c>
      <c r="E13" s="46">
        <f>VLOOKUP(C13,Active!C$21:E$973,3,FALSE)</f>
        <v>4901.5567596857327</v>
      </c>
      <c r="F13" s="3" t="s">
        <v>66</v>
      </c>
      <c r="G13" s="10" t="str">
        <f t="shared" si="4"/>
        <v>55670.5209</v>
      </c>
      <c r="H13" s="8">
        <f t="shared" si="5"/>
        <v>7771.5</v>
      </c>
      <c r="I13" s="47" t="s">
        <v>79</v>
      </c>
      <c r="J13" s="48" t="s">
        <v>80</v>
      </c>
      <c r="K13" s="47" t="s">
        <v>81</v>
      </c>
      <c r="L13" s="47" t="s">
        <v>82</v>
      </c>
      <c r="M13" s="48" t="s">
        <v>71</v>
      </c>
      <c r="N13" s="48" t="s">
        <v>72</v>
      </c>
      <c r="O13" s="49" t="s">
        <v>83</v>
      </c>
      <c r="P13" s="50" t="s">
        <v>84</v>
      </c>
    </row>
    <row r="14" spans="1:16" ht="12.75" customHeight="1" thickBot="1" x14ac:dyDescent="0.25">
      <c r="A14" s="8" t="str">
        <f t="shared" si="0"/>
        <v>BAVM 220 </v>
      </c>
      <c r="B14" s="3" t="str">
        <f t="shared" si="1"/>
        <v>I</v>
      </c>
      <c r="C14" s="8">
        <f t="shared" si="2"/>
        <v>55673.473299999998</v>
      </c>
      <c r="D14" s="10" t="str">
        <f t="shared" si="3"/>
        <v>vis</v>
      </c>
      <c r="E14" s="46">
        <f>VLOOKUP(C14,Active!C$21:E$973,3,FALSE)</f>
        <v>4909.5556759685678</v>
      </c>
      <c r="F14" s="3" t="s">
        <v>66</v>
      </c>
      <c r="G14" s="10" t="str">
        <f t="shared" si="4"/>
        <v>55673.4733</v>
      </c>
      <c r="H14" s="8">
        <f t="shared" si="5"/>
        <v>7778</v>
      </c>
      <c r="I14" s="47" t="s">
        <v>85</v>
      </c>
      <c r="J14" s="48" t="s">
        <v>86</v>
      </c>
      <c r="K14" s="47" t="s">
        <v>87</v>
      </c>
      <c r="L14" s="47" t="s">
        <v>88</v>
      </c>
      <c r="M14" s="48" t="s">
        <v>71</v>
      </c>
      <c r="N14" s="48" t="s">
        <v>72</v>
      </c>
      <c r="O14" s="49" t="s">
        <v>83</v>
      </c>
      <c r="P14" s="50" t="s">
        <v>84</v>
      </c>
    </row>
    <row r="15" spans="1:16" ht="12.75" customHeight="1" thickBot="1" x14ac:dyDescent="0.25">
      <c r="A15" s="8" t="str">
        <f t="shared" si="0"/>
        <v>BAVM 220 </v>
      </c>
      <c r="B15" s="3" t="str">
        <f t="shared" si="1"/>
        <v>II</v>
      </c>
      <c r="C15" s="8">
        <f t="shared" si="2"/>
        <v>55705.4</v>
      </c>
      <c r="D15" s="10" t="str">
        <f t="shared" si="3"/>
        <v>vis</v>
      </c>
      <c r="E15" s="46">
        <f>VLOOKUP(C15,Active!C$21:E$973,3,FALSE)</f>
        <v>4996.0544567867846</v>
      </c>
      <c r="F15" s="3" t="s">
        <v>66</v>
      </c>
      <c r="G15" s="10" t="str">
        <f t="shared" si="4"/>
        <v>55705.4000</v>
      </c>
      <c r="H15" s="8">
        <f t="shared" si="5"/>
        <v>7848.5</v>
      </c>
      <c r="I15" s="47" t="s">
        <v>89</v>
      </c>
      <c r="J15" s="48" t="s">
        <v>90</v>
      </c>
      <c r="K15" s="47" t="s">
        <v>91</v>
      </c>
      <c r="L15" s="47" t="s">
        <v>92</v>
      </c>
      <c r="M15" s="48" t="s">
        <v>71</v>
      </c>
      <c r="N15" s="48" t="s">
        <v>72</v>
      </c>
      <c r="O15" s="49" t="s">
        <v>83</v>
      </c>
      <c r="P15" s="50" t="s">
        <v>84</v>
      </c>
    </row>
    <row r="16" spans="1:16" ht="12.75" customHeight="1" thickBot="1" x14ac:dyDescent="0.25">
      <c r="A16" s="8" t="str">
        <f t="shared" si="0"/>
        <v>OEJV 0160 </v>
      </c>
      <c r="B16" s="3" t="str">
        <f t="shared" si="1"/>
        <v>I</v>
      </c>
      <c r="C16" s="8">
        <f t="shared" si="2"/>
        <v>55707.42985</v>
      </c>
      <c r="D16" s="10" t="str">
        <f t="shared" si="3"/>
        <v>vis</v>
      </c>
      <c r="E16" s="46">
        <f>VLOOKUP(C16,Active!C$21:E$973,3,FALSE)</f>
        <v>5001.5539149282067</v>
      </c>
      <c r="F16" s="3" t="s">
        <v>66</v>
      </c>
      <c r="G16" s="10" t="str">
        <f t="shared" si="4"/>
        <v>55707.42985</v>
      </c>
      <c r="H16" s="8">
        <f t="shared" si="5"/>
        <v>7853</v>
      </c>
      <c r="I16" s="47" t="s">
        <v>93</v>
      </c>
      <c r="J16" s="48" t="s">
        <v>94</v>
      </c>
      <c r="K16" s="47" t="s">
        <v>95</v>
      </c>
      <c r="L16" s="47" t="s">
        <v>96</v>
      </c>
      <c r="M16" s="48" t="s">
        <v>71</v>
      </c>
      <c r="N16" s="48" t="s">
        <v>58</v>
      </c>
      <c r="O16" s="49" t="s">
        <v>97</v>
      </c>
      <c r="P16" s="50" t="s">
        <v>98</v>
      </c>
    </row>
    <row r="17" spans="1:16" ht="12.75" customHeight="1" thickBot="1" x14ac:dyDescent="0.25">
      <c r="A17" s="8" t="str">
        <f t="shared" si="0"/>
        <v>OEJV 0160 </v>
      </c>
      <c r="B17" s="3" t="str">
        <f t="shared" si="1"/>
        <v>II</v>
      </c>
      <c r="C17" s="8">
        <f t="shared" si="2"/>
        <v>55724.407709999999</v>
      </c>
      <c r="D17" s="10" t="str">
        <f t="shared" si="3"/>
        <v>vis</v>
      </c>
      <c r="E17" s="46">
        <f>VLOOKUP(C17,Active!C$21:E$973,3,FALSE)</f>
        <v>5047.5519100514766</v>
      </c>
      <c r="F17" s="3" t="s">
        <v>66</v>
      </c>
      <c r="G17" s="10" t="str">
        <f t="shared" si="4"/>
        <v>55724.40771</v>
      </c>
      <c r="H17" s="8">
        <f t="shared" si="5"/>
        <v>7890.5</v>
      </c>
      <c r="I17" s="47" t="s">
        <v>99</v>
      </c>
      <c r="J17" s="48" t="s">
        <v>100</v>
      </c>
      <c r="K17" s="47" t="s">
        <v>101</v>
      </c>
      <c r="L17" s="47" t="s">
        <v>102</v>
      </c>
      <c r="M17" s="48" t="s">
        <v>71</v>
      </c>
      <c r="N17" s="48" t="s">
        <v>58</v>
      </c>
      <c r="O17" s="49" t="s">
        <v>103</v>
      </c>
      <c r="P17" s="50" t="s">
        <v>98</v>
      </c>
    </row>
    <row r="18" spans="1:16" ht="12.75" customHeight="1" thickBot="1" x14ac:dyDescent="0.25">
      <c r="A18" s="8" t="str">
        <f t="shared" si="0"/>
        <v>OEJV 0160 </v>
      </c>
      <c r="B18" s="3" t="str">
        <f t="shared" si="1"/>
        <v>I</v>
      </c>
      <c r="C18" s="8">
        <f t="shared" si="2"/>
        <v>55749.507250000002</v>
      </c>
      <c r="D18" s="10" t="str">
        <f t="shared" si="3"/>
        <v>vis</v>
      </c>
      <c r="E18" s="46">
        <f>VLOOKUP(C18,Active!C$21:E$973,3,FALSE)</f>
        <v>5115.5539149282122</v>
      </c>
      <c r="F18" s="3" t="s">
        <v>66</v>
      </c>
      <c r="G18" s="10" t="str">
        <f t="shared" si="4"/>
        <v>55749.50725</v>
      </c>
      <c r="H18" s="8">
        <f t="shared" si="5"/>
        <v>7946</v>
      </c>
      <c r="I18" s="47" t="s">
        <v>104</v>
      </c>
      <c r="J18" s="48" t="s">
        <v>105</v>
      </c>
      <c r="K18" s="47" t="s">
        <v>106</v>
      </c>
      <c r="L18" s="47" t="s">
        <v>107</v>
      </c>
      <c r="M18" s="48" t="s">
        <v>71</v>
      </c>
      <c r="N18" s="48" t="s">
        <v>58</v>
      </c>
      <c r="O18" s="49" t="s">
        <v>103</v>
      </c>
      <c r="P18" s="50" t="s">
        <v>98</v>
      </c>
    </row>
    <row r="19" spans="1:16" ht="12.75" customHeight="1" thickBot="1" x14ac:dyDescent="0.25">
      <c r="A19" s="8" t="str">
        <f t="shared" si="0"/>
        <v>IBVS 6033 </v>
      </c>
      <c r="B19" s="3" t="str">
        <f t="shared" si="1"/>
        <v>II</v>
      </c>
      <c r="C19" s="8">
        <f t="shared" si="2"/>
        <v>55825.3577</v>
      </c>
      <c r="D19" s="10" t="str">
        <f t="shared" si="3"/>
        <v>vis</v>
      </c>
      <c r="E19" s="46">
        <f>VLOOKUP(C19,Active!C$21:E$973,3,FALSE)</f>
        <v>5321.0549986453561</v>
      </c>
      <c r="F19" s="3" t="s">
        <v>66</v>
      </c>
      <c r="G19" s="10" t="str">
        <f t="shared" si="4"/>
        <v>55825.3577</v>
      </c>
      <c r="H19" s="8">
        <f t="shared" si="5"/>
        <v>8113.5</v>
      </c>
      <c r="I19" s="47" t="s">
        <v>108</v>
      </c>
      <c r="J19" s="48" t="s">
        <v>109</v>
      </c>
      <c r="K19" s="47" t="s">
        <v>110</v>
      </c>
      <c r="L19" s="47" t="s">
        <v>111</v>
      </c>
      <c r="M19" s="48" t="s">
        <v>71</v>
      </c>
      <c r="N19" s="48" t="s">
        <v>66</v>
      </c>
      <c r="O19" s="49" t="s">
        <v>112</v>
      </c>
      <c r="P19" s="50" t="s">
        <v>113</v>
      </c>
    </row>
    <row r="20" spans="1:16" ht="12.75" customHeight="1" thickBot="1" x14ac:dyDescent="0.25">
      <c r="A20" s="8" t="str">
        <f t="shared" si="0"/>
        <v>BAVM 231 </v>
      </c>
      <c r="B20" s="3" t="str">
        <f t="shared" si="1"/>
        <v>I</v>
      </c>
      <c r="C20" s="8">
        <f t="shared" si="2"/>
        <v>56062.506999999998</v>
      </c>
      <c r="D20" s="10" t="str">
        <f t="shared" si="3"/>
        <v>vis</v>
      </c>
      <c r="E20" s="46">
        <f>VLOOKUP(C20,Active!C$21:E$973,3,FALSE)</f>
        <v>5963.5619073421794</v>
      </c>
      <c r="F20" s="3" t="s">
        <v>66</v>
      </c>
      <c r="G20" s="10" t="str">
        <f t="shared" si="4"/>
        <v>56062.5070</v>
      </c>
      <c r="H20" s="8">
        <f t="shared" si="5"/>
        <v>8637</v>
      </c>
      <c r="I20" s="47" t="s">
        <v>114</v>
      </c>
      <c r="J20" s="48" t="s">
        <v>115</v>
      </c>
      <c r="K20" s="47" t="s">
        <v>116</v>
      </c>
      <c r="L20" s="47" t="s">
        <v>117</v>
      </c>
      <c r="M20" s="48" t="s">
        <v>71</v>
      </c>
      <c r="N20" s="48" t="s">
        <v>72</v>
      </c>
      <c r="O20" s="49" t="s">
        <v>83</v>
      </c>
      <c r="P20" s="50" t="s">
        <v>118</v>
      </c>
    </row>
    <row r="21" spans="1:16" x14ac:dyDescent="0.2">
      <c r="B21" s="3"/>
      <c r="E21" s="46"/>
      <c r="F21" s="3"/>
    </row>
    <row r="22" spans="1:16" x14ac:dyDescent="0.2">
      <c r="B22" s="3"/>
      <c r="E22" s="46"/>
      <c r="F22" s="3"/>
    </row>
    <row r="23" spans="1:16" x14ac:dyDescent="0.2">
      <c r="B23" s="3"/>
      <c r="E23" s="46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</sheetData>
  <phoneticPr fontId="8" type="noConversion"/>
  <hyperlinks>
    <hyperlink ref="P11" r:id="rId1" display="http://www.bav-astro.de/sfs/BAVM_link.php?BAVMnr=178" xr:uid="{00000000-0004-0000-0200-000000000000}"/>
    <hyperlink ref="P12" r:id="rId2" display="http://www.bav-astro.de/sfs/BAVM_link.php?BAVMnr=178" xr:uid="{00000000-0004-0000-0200-000001000000}"/>
    <hyperlink ref="P13" r:id="rId3" display="http://www.bav-astro.de/sfs/BAVM_link.php?BAVMnr=220" xr:uid="{00000000-0004-0000-0200-000002000000}"/>
    <hyperlink ref="P14" r:id="rId4" display="http://www.bav-astro.de/sfs/BAVM_link.php?BAVMnr=220" xr:uid="{00000000-0004-0000-0200-000003000000}"/>
    <hyperlink ref="P15" r:id="rId5" display="http://www.bav-astro.de/sfs/BAVM_link.php?BAVMnr=220" xr:uid="{00000000-0004-0000-0200-000004000000}"/>
    <hyperlink ref="P16" r:id="rId6" display="http://var.astro.cz/oejv/issues/oejv0160.pdf" xr:uid="{00000000-0004-0000-0200-000005000000}"/>
    <hyperlink ref="P17" r:id="rId7" display="http://var.astro.cz/oejv/issues/oejv0160.pdf" xr:uid="{00000000-0004-0000-0200-000006000000}"/>
    <hyperlink ref="P18" r:id="rId8" display="http://var.astro.cz/oejv/issues/oejv0160.pdf" xr:uid="{00000000-0004-0000-0200-000007000000}"/>
    <hyperlink ref="P19" r:id="rId9" display="http://www.konkoly.hu/cgi-bin/IBVS?6033" xr:uid="{00000000-0004-0000-0200-000008000000}"/>
    <hyperlink ref="P20" r:id="rId10" display="http://www.bav-astro.de/sfs/BAVM_link.php?BAVMnr=231" xr:uid="{00000000-0004-0000-0200-00000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2024-02-18T07:22:54Z</dcterms:modified>
</cp:coreProperties>
</file>