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435FD9E-328A-443C-8846-24A6E247CB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F14" i="1"/>
  <c r="E23" i="1"/>
  <c r="F23" i="1"/>
  <c r="G23" i="1" s="1"/>
  <c r="K23" i="1" s="1"/>
  <c r="Q23" i="1"/>
  <c r="E24" i="1"/>
  <c r="F24" i="1" s="1"/>
  <c r="G24" i="1" s="1"/>
  <c r="K24" i="1" s="1"/>
  <c r="Q24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2" i="1" l="1"/>
  <c r="O24" i="1"/>
  <c r="O23" i="1"/>
  <c r="C16" i="1"/>
  <c r="D18" i="1" s="1"/>
  <c r="C15" i="1"/>
  <c r="O21" i="1"/>
  <c r="K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<sst xmlns="http://schemas.openxmlformats.org/spreadsheetml/2006/main" count="60" uniqueCount="55">
  <si>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</si>
  <si>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</si>
  <si>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</si>
  <si>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</si>
  <si>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</si>
  <si>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</si>
  <si>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</si>
  <si>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</si>
  <si>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</si>
  <si>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</si>
  <si>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</si>
  <si>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</si>
  <si>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</si>
  <si>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</si>
  <si>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</si>
  <si>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</si>
  <si>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</si>
  <si>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</si>
  <si>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</si>
  <si>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</si>
  <si>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</si>
  <si>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</si>
  <si>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</si>
  <si>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</si>
  <si>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</si>
  <si>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</si>
  <si>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</si>
  <si>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</si>
  <si>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</si>
  <si>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</si>
  <si>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</si>
  <si>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</si>
  <si>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</si>
  <si>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</si>
  <si>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</si>
  <si>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</si>
  <si>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</si>
  <si>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</si>
  <si>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</si>
  <si>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</si>
  <si>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</si>
  <si>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</si>
  <si>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</si>
  <si>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</si>
  <si>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</si>
  <si>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</si>
  <si>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UCAC3 238-155503 Lyr</t>
  </si>
  <si>
    <t>JBAV, 76</t>
  </si>
  <si>
    <t>I</t>
  </si>
  <si>
    <t>II</t>
  </si>
  <si>
    <t xml:space="preserve">Mag </t>
  </si>
  <si>
    <t>Next ToM-P</t>
  </si>
  <si>
    <t>Next ToM-S</t>
  </si>
  <si>
    <t>14.76 (0.88)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</si>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</sst>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2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43" fontId="19" fillId="0" borderId="0" xfId="8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165" fontId="19" fillId="0" borderId="0" xfId="8" applyNumberFormat="1" applyFont="1" applyBorder="1" applyAlignment="1">
      <alignment horizontal="left" vertical="center" wrapText="1"/>
    </xf>
    <xf numFmtId="165" fontId="0" fillId="0" borderId="0" xfId="0" applyNumberFormat="1" applyAlignment="1">
      <alignment horizontal="left" vertical="center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22" fontId="22" fillId="0" borderId="9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UCAC3 238-155503 Lyr</a:t>
            </a:r>
            <a:r>
              <a:rPr lang="en-AU" sz="1200" b="1" i="0" u="none" strike="noStrike" baseline="0"/>
              <a:t> 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1292</c:v>
                </c:pt>
                <c:pt idx="2">
                  <c:v>1316</c:v>
                </c:pt>
                <c:pt idx="3">
                  <c:v>3935.5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1292</c:v>
                </c:pt>
                <c:pt idx="2">
                  <c:v>1316</c:v>
                </c:pt>
                <c:pt idx="3">
                  <c:v>3935.5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1292</c:v>
                </c:pt>
                <c:pt idx="2">
                  <c:v>1316</c:v>
                </c:pt>
                <c:pt idx="3">
                  <c:v>3935.5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1292</c:v>
                </c:pt>
                <c:pt idx="2">
                  <c:v>1316</c:v>
                </c:pt>
                <c:pt idx="3">
                  <c:v>3935.5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5.4200000158743933E-4</c:v>
                </c:pt>
                <c:pt idx="2">
                  <c:v>9.6599999960744753E-4</c:v>
                </c:pt>
                <c:pt idx="3">
                  <c:v>-8.2499973359517753E-6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1292</c:v>
                </c:pt>
                <c:pt idx="2">
                  <c:v>1316</c:v>
                </c:pt>
                <c:pt idx="3">
                  <c:v>3935.5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1292</c:v>
                </c:pt>
                <c:pt idx="2">
                  <c:v>1316</c:v>
                </c:pt>
                <c:pt idx="3">
                  <c:v>3935.5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1292</c:v>
                </c:pt>
                <c:pt idx="2">
                  <c:v>1316</c:v>
                </c:pt>
                <c:pt idx="3">
                  <c:v>3935.5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1292</c:v>
                </c:pt>
                <c:pt idx="2">
                  <c:v>1316</c:v>
                </c:pt>
                <c:pt idx="3">
                  <c:v>3935.5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4.7773793694756613E-4</c:v>
                </c:pt>
                <c:pt idx="1">
                  <c:v>3.965470370989717E-4</c:v>
                </c:pt>
                <c:pt idx="2">
                  <c:v>3.9503884700890497E-4</c:v>
                </c:pt>
                <c:pt idx="3">
                  <c:v>2.3042618280349233E-4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1292</c:v>
                </c:pt>
                <c:pt idx="2">
                  <c:v>1316</c:v>
                </c:pt>
                <c:pt idx="3">
                  <c:v>3935.5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28515625" customWidth="1"/>
    <col min="2" max="2" width="4.85546875" customWidth="1"/>
    <col min="3" max="3" width="14.14062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46</v>
      </c>
      <c r="F1" s="8" t="s">
        <v>43</v>
      </c>
      <c r="G1" s="4"/>
      <c r="H1" s="2"/>
      <c r="I1" s="9"/>
      <c r="J1" s="10" t="s">
        <v>41</v>
      </c>
      <c r="K1" s="3"/>
      <c r="L1" s="5"/>
      <c r="M1" s="6"/>
      <c r="N1" s="6"/>
      <c r="O1" s="7"/>
    </row>
    <row r="2" spans="1:15" s="13" customFormat="1" ht="12.95" customHeight="1" x14ac:dyDescent="0.2">
      <c r="A2" s="13" t="s">
        <v>23</v>
      </c>
      <c r="B2" s="14" t="s">
        <v>44</v>
      </c>
      <c r="C2" s="15"/>
      <c r="D2" s="16"/>
    </row>
    <row r="3" spans="1:15" s="13" customFormat="1" ht="12.95" customHeight="1" x14ac:dyDescent="0.2"/>
    <row r="4" spans="1:15" s="13" customFormat="1" ht="12.95" customHeight="1" x14ac:dyDescent="0.2">
      <c r="A4" s="17" t="s">
        <v>0</v>
      </c>
      <c r="C4" s="16" t="s">
        <v>36</v>
      </c>
      <c r="D4" s="16" t="s">
        <v>36</v>
      </c>
    </row>
    <row r="5" spans="1:15" s="13" customFormat="1" ht="12.95" customHeight="1" x14ac:dyDescent="0.2">
      <c r="A5" s="18" t="s">
        <v>28</v>
      </c>
      <c r="C5" s="19">
        <v>-9.5</v>
      </c>
      <c r="D5" s="13" t="s">
        <v>29</v>
      </c>
    </row>
    <row r="6" spans="1:15" s="13" customFormat="1" ht="12.95" customHeight="1" x14ac:dyDescent="0.2">
      <c r="A6" s="17" t="s">
        <v>1</v>
      </c>
    </row>
    <row r="7" spans="1:15" s="13" customFormat="1" ht="12.95" customHeight="1" x14ac:dyDescent="0.2">
      <c r="A7" s="13" t="s">
        <v>2</v>
      </c>
      <c r="C7" s="38">
        <v>55385.479599999999</v>
      </c>
      <c r="D7" s="21" t="s">
        <v>45</v>
      </c>
    </row>
    <row r="8" spans="1:15" s="13" customFormat="1" ht="12.95" customHeight="1" x14ac:dyDescent="0.2">
      <c r="A8" s="13" t="s">
        <v>3</v>
      </c>
      <c r="C8" s="38">
        <v>0.91551150000000003</v>
      </c>
      <c r="D8" s="21" t="s">
        <v>45</v>
      </c>
    </row>
    <row r="9" spans="1:15" s="13" customFormat="1" ht="12.95" customHeight="1" x14ac:dyDescent="0.2">
      <c r="A9" s="22" t="s">
        <v>31</v>
      </c>
      <c r="B9" s="23">
        <v>21</v>
      </c>
      <c r="C9" s="24"/>
      <c r="D9" s="25"/>
    </row>
    <row r="10" spans="1:15" s="13" customFormat="1" ht="12.95" customHeight="1" thickBot="1" x14ac:dyDescent="0.25">
      <c r="C10" s="26" t="s">
        <v>19</v>
      </c>
      <c r="D10" s="26" t="s">
        <v>20</v>
      </c>
    </row>
    <row r="11" spans="1:15" s="13" customFormat="1" ht="12.95" customHeight="1" x14ac:dyDescent="0.2">
      <c r="A11" s="13" t="s">
        <v>15</v>
      </c>
      <c r="C11" s="25">
        <f ca="1">INTERCEPT(INDIRECT($G$11):G992,INDIRECT($F$11):F992)</f>
        <v>4.7773793694756613E-4</v>
      </c>
      <c r="D11" s="16"/>
      <c r="F11" s="13" t="str">
        <f>"F"&amp;B9</f>
        <v>F21</v>
      </c>
      <c r="G11" s="13" t="str">
        <f>"G"&amp;B9</f>
        <v>G21</v>
      </c>
    </row>
    <row r="12" spans="1:15" s="13" customFormat="1" ht="12.95" customHeight="1" x14ac:dyDescent="0.2">
      <c r="A12" s="13" t="s">
        <v>16</v>
      </c>
      <c r="C12" s="25">
        <f ca="1">SLOPE(INDIRECT($G$11):G992,INDIRECT($F$11):F992)</f>
        <v>-6.2841253752782061E-8</v>
      </c>
      <c r="D12" s="16"/>
      <c r="E12" s="44" t="s">
        <v>50</v>
      </c>
      <c r="F12" s="45" t="s">
        <v>53</v>
      </c>
    </row>
    <row r="13" spans="1:15" s="13" customFormat="1" ht="12.95" customHeight="1" x14ac:dyDescent="0.2">
      <c r="A13" s="13" t="s">
        <v>18</v>
      </c>
      <c r="C13" s="16" t="s">
        <v>13</v>
      </c>
      <c r="E13" s="42" t="s">
        <v>33</v>
      </c>
      <c r="F13" s="46">
        <v>1</v>
      </c>
    </row>
    <row r="14" spans="1:15" s="13" customFormat="1" ht="12.95" customHeight="1" x14ac:dyDescent="0.2">
      <c r="E14" s="42" t="s">
        <v>30</v>
      </c>
      <c r="F14" s="47">
        <f ca="1">NOW()+15018.5+$C$5/24</f>
        <v>60547.748274999998</v>
      </c>
    </row>
    <row r="15" spans="1:15" s="13" customFormat="1" ht="12.95" customHeight="1" x14ac:dyDescent="0.2">
      <c r="A15" s="28" t="s">
        <v>17</v>
      </c>
      <c r="C15" s="29">
        <f ca="1">(C7+C11)+(C8+C12)*INT(MAX(F21:F3533))</f>
        <v>58988.017582957604</v>
      </c>
      <c r="E15" s="42" t="s">
        <v>34</v>
      </c>
      <c r="F15" s="47">
        <f ca="1">ROUND(2*($F$14-$C$7)/$C$8,0)/2+$F$13</f>
        <v>5639.5</v>
      </c>
    </row>
    <row r="16" spans="1:15" s="13" customFormat="1" ht="12.95" customHeight="1" x14ac:dyDescent="0.2">
      <c r="A16" s="17" t="s">
        <v>4</v>
      </c>
      <c r="C16" s="30">
        <f ca="1">+C8+C12</f>
        <v>0.91551143715874628</v>
      </c>
      <c r="E16" s="42" t="s">
        <v>35</v>
      </c>
      <c r="F16" s="47">
        <f ca="1">ROUND(2*($F$14-$C$15)/$C$16,0)/2+$F$13</f>
        <v>1704.5</v>
      </c>
    </row>
    <row r="17" spans="1:21" s="13" customFormat="1" ht="12.95" customHeight="1" thickBot="1" x14ac:dyDescent="0.25">
      <c r="A17" s="27" t="s">
        <v>27</v>
      </c>
      <c r="C17" s="13">
        <f>COUNT(C21:C2191)</f>
        <v>4</v>
      </c>
      <c r="E17" s="42" t="s">
        <v>51</v>
      </c>
      <c r="F17" s="49">
        <f ca="1">+$C$15+$C$16*$F$16-15018.5-$C$5/24</f>
        <v>45530.402660928019</v>
      </c>
    </row>
    <row r="18" spans="1:21" s="13" customFormat="1" ht="12.95" customHeight="1" thickTop="1" thickBot="1" x14ac:dyDescent="0.25">
      <c r="A18" s="17" t="s">
        <v>5</v>
      </c>
      <c r="C18" s="31">
        <f ca="1">+C15</f>
        <v>58988.017582957604</v>
      </c>
      <c r="D18" s="32">
        <f ca="1">+C16</f>
        <v>0.91551143715874628</v>
      </c>
      <c r="E18" s="43" t="s">
        <v>52</v>
      </c>
      <c r="F18" s="48">
        <f ca="1">+($C$15+$C$16*$F$16)-($C$16/2)-15018.5-$C$5/24</f>
        <v>45529.944905209442</v>
      </c>
    </row>
    <row r="19" spans="1:21" s="13" customFormat="1" ht="12.95" customHeight="1" thickTop="1" x14ac:dyDescent="0.2">
      <c r="F19" s="13" t="s">
        <v>42</v>
      </c>
    </row>
    <row r="20" spans="1:21" s="13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3" t="s">
        <v>37</v>
      </c>
      <c r="I20" s="33" t="s">
        <v>38</v>
      </c>
      <c r="J20" s="33" t="s">
        <v>39</v>
      </c>
      <c r="K20" s="33" t="s">
        <v>40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6" t="s">
        <v>14</v>
      </c>
      <c r="U20" s="35" t="s">
        <v>32</v>
      </c>
    </row>
    <row r="21" spans="1:21" s="13" customFormat="1" ht="12.95" customHeight="1" x14ac:dyDescent="0.2">
      <c r="A21" s="13" t="str">
        <f>D7</f>
        <v>VSX</v>
      </c>
      <c r="C21" s="20">
        <f>C$7</f>
        <v>55385.479599999999</v>
      </c>
      <c r="D21" s="20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K21" s="13">
        <f>+G21</f>
        <v>0</v>
      </c>
      <c r="O21" s="13">
        <f ca="1">+C$11+C$12*$F21</f>
        <v>4.7773793694756613E-4</v>
      </c>
      <c r="Q21" s="36">
        <f>+C21-15018.5</f>
        <v>40366.979599999999</v>
      </c>
    </row>
    <row r="22" spans="1:21" s="13" customFormat="1" ht="12.95" customHeight="1" x14ac:dyDescent="0.2">
      <c r="A22" s="50" t="s">
        <v>54</v>
      </c>
      <c r="B22" s="51" t="s">
        <v>48</v>
      </c>
      <c r="C22" s="50">
        <v>56568.321000000004</v>
      </c>
      <c r="D22" s="50">
        <v>3.5000000000000001E-3</v>
      </c>
      <c r="E22" s="13">
        <f>+(C22-C$7)/C$8</f>
        <v>1292.0005920187837</v>
      </c>
      <c r="F22" s="13">
        <f>ROUND(2*E22,0)/2</f>
        <v>1292</v>
      </c>
      <c r="G22" s="13">
        <f>+C22-(C$7+F22*C$8)</f>
        <v>5.4200000158743933E-4</v>
      </c>
      <c r="K22" s="13">
        <f>+G22</f>
        <v>5.4200000158743933E-4</v>
      </c>
      <c r="O22" s="13">
        <f ca="1">+C$11+C$12*$F22</f>
        <v>3.965470370989717E-4</v>
      </c>
      <c r="Q22" s="36">
        <f>+C22-15018.5</f>
        <v>41549.821000000004</v>
      </c>
    </row>
    <row r="23" spans="1:21" s="13" customFormat="1" ht="12.95" customHeight="1" x14ac:dyDescent="0.2">
      <c r="A23" s="12" t="s">
        <v>47</v>
      </c>
      <c r="B23" s="37" t="s">
        <v>48</v>
      </c>
      <c r="C23" s="39">
        <v>56590.293700000002</v>
      </c>
      <c r="D23" s="40">
        <v>3.5000000000000001E-3</v>
      </c>
      <c r="E23" s="13">
        <f>+(C23-C$7)/C$8</f>
        <v>1316.0010551478636</v>
      </c>
      <c r="F23" s="13">
        <f>ROUND(2*E23,0)/2</f>
        <v>1316</v>
      </c>
      <c r="G23" s="13">
        <f>+C23-(C$7+F23*C$8)</f>
        <v>9.6599999960744753E-4</v>
      </c>
      <c r="K23" s="13">
        <f>+G23</f>
        <v>9.6599999960744753E-4</v>
      </c>
      <c r="O23" s="13">
        <f ca="1">+C$11+C$12*$F23</f>
        <v>3.9503884700890497E-4</v>
      </c>
      <c r="Q23" s="36">
        <f>+C23-15018.5</f>
        <v>41571.793700000002</v>
      </c>
    </row>
    <row r="24" spans="1:21" s="13" customFormat="1" ht="12.95" customHeight="1" x14ac:dyDescent="0.2">
      <c r="A24" s="12" t="s">
        <v>47</v>
      </c>
      <c r="B24" s="37" t="s">
        <v>49</v>
      </c>
      <c r="C24" s="39">
        <v>58988.475100000003</v>
      </c>
      <c r="D24" s="40">
        <v>3.5000000000000001E-3</v>
      </c>
      <c r="E24" s="13">
        <f>+(C24-C$7)/C$8</f>
        <v>3935.4999909886487</v>
      </c>
      <c r="F24" s="13">
        <f>ROUND(2*E24,0)/2</f>
        <v>3935.5</v>
      </c>
      <c r="G24" s="13">
        <f>+C24-(C$7+F24*C$8)</f>
        <v>-8.2499973359517753E-6</v>
      </c>
      <c r="K24" s="13">
        <f>+G24</f>
        <v>-8.2499973359517753E-6</v>
      </c>
      <c r="O24" s="13">
        <f ca="1">+C$11+C$12*$F24</f>
        <v>2.3042618280349233E-4</v>
      </c>
      <c r="Q24" s="36">
        <f>+C24-15018.5</f>
        <v>43969.975100000003</v>
      </c>
    </row>
    <row r="25" spans="1:21" s="13" customFormat="1" ht="12.95" customHeight="1" x14ac:dyDescent="0.2">
      <c r="C25" s="20"/>
      <c r="D25" s="41"/>
      <c r="Q25" s="36"/>
    </row>
    <row r="26" spans="1:21" s="13" customFormat="1" ht="12.95" customHeight="1" x14ac:dyDescent="0.2">
      <c r="C26" s="20"/>
      <c r="D26" s="41"/>
      <c r="Q26" s="36"/>
    </row>
    <row r="27" spans="1:21" s="13" customFormat="1" ht="12.95" customHeight="1" x14ac:dyDescent="0.2">
      <c r="C27" s="20"/>
      <c r="D27" s="20"/>
      <c r="Q27" s="36"/>
    </row>
    <row r="28" spans="1:21" s="13" customFormat="1" ht="12.95" customHeight="1" x14ac:dyDescent="0.2">
      <c r="C28" s="20"/>
      <c r="D28" s="20"/>
      <c r="Q28" s="36"/>
    </row>
    <row r="29" spans="1:21" s="13" customFormat="1" ht="12.95" customHeight="1" x14ac:dyDescent="0.2">
      <c r="C29" s="20"/>
      <c r="D29" s="20"/>
      <c r="Q29" s="36"/>
    </row>
    <row r="30" spans="1:21" s="13" customFormat="1" ht="12.95" customHeight="1" x14ac:dyDescent="0.2">
      <c r="C30" s="20"/>
      <c r="D30" s="20"/>
      <c r="Q30" s="36"/>
    </row>
    <row r="31" spans="1:21" s="13" customFormat="1" ht="12.95" customHeight="1" x14ac:dyDescent="0.2">
      <c r="C31" s="20"/>
      <c r="D31" s="20"/>
      <c r="Q31" s="36"/>
    </row>
    <row r="32" spans="1:21" s="13" customFormat="1" ht="12.95" customHeight="1" x14ac:dyDescent="0.2">
      <c r="C32" s="20"/>
      <c r="D32" s="20"/>
      <c r="Q32" s="36"/>
    </row>
    <row r="33" spans="3:17" s="13" customFormat="1" ht="12.95" customHeight="1" x14ac:dyDescent="0.2">
      <c r="C33" s="20"/>
      <c r="D33" s="20"/>
      <c r="Q33" s="36"/>
    </row>
    <row r="34" spans="3:17" s="13" customFormat="1" ht="12.95" customHeight="1" x14ac:dyDescent="0.2">
      <c r="C34" s="20"/>
      <c r="D34" s="20"/>
    </row>
    <row r="35" spans="3:17" s="13" customFormat="1" ht="12.95" customHeight="1" x14ac:dyDescent="0.2">
      <c r="C35" s="20"/>
      <c r="D35" s="20"/>
    </row>
    <row r="36" spans="3:17" s="13" customFormat="1" ht="12.95" customHeight="1" x14ac:dyDescent="0.2">
      <c r="C36" s="20"/>
      <c r="D36" s="20"/>
    </row>
    <row r="37" spans="3:17" s="13" customFormat="1" ht="12.95" customHeight="1" x14ac:dyDescent="0.2">
      <c r="C37" s="20"/>
      <c r="D37" s="20"/>
    </row>
    <row r="38" spans="3:17" s="13" customFormat="1" ht="12.95" customHeight="1" x14ac:dyDescent="0.2">
      <c r="C38" s="20"/>
      <c r="D38" s="20"/>
    </row>
    <row r="39" spans="3:17" s="13" customFormat="1" ht="12.95" customHeight="1" x14ac:dyDescent="0.2">
      <c r="C39" s="20"/>
      <c r="D39" s="20"/>
    </row>
    <row r="40" spans="3:17" s="13" customFormat="1" ht="12.95" customHeight="1" x14ac:dyDescent="0.2">
      <c r="C40" s="20"/>
      <c r="D40" s="20"/>
    </row>
    <row r="41" spans="3:17" s="13" customFormat="1" ht="12.95" customHeight="1" x14ac:dyDescent="0.2">
      <c r="C41" s="20"/>
      <c r="D41" s="20"/>
    </row>
    <row r="42" spans="3:17" s="13" customFormat="1" ht="12.95" customHeight="1" x14ac:dyDescent="0.2">
      <c r="C42" s="20"/>
      <c r="D42" s="20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X33">
    <sortCondition ref="C21:C33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2024-08-25T05:57:31Z</dcterms:modified>
</cp:coreProperties>
</file>