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C3BC5F1-1CF8-4977-9F22-DF28DC5FB09D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BAV" sheetId="3" r:id="rId2"/>
    <sheet name="Inactive" sheetId="2" r:id="rId3"/>
  </sheets>
  <calcPr calcId="181029"/>
</workbook>
</file>

<file path=xl/calcChain.xml><?xml version="1.0" encoding="utf-8"?>
<calcChain xmlns="http://schemas.openxmlformats.org/spreadsheetml/2006/main">
  <c r="I21" i="1" l="1"/>
  <c r="E27" i="2"/>
  <c r="F27" i="2"/>
  <c r="G27" i="2"/>
  <c r="J27" i="2"/>
  <c r="Q27" i="2"/>
  <c r="E28" i="2"/>
  <c r="F28" i="2"/>
  <c r="G28" i="2"/>
  <c r="J28" i="2"/>
  <c r="Q28" i="2"/>
  <c r="I22" i="1"/>
  <c r="Q28" i="1"/>
  <c r="D9" i="1"/>
  <c r="C9" i="1"/>
  <c r="Q21" i="1"/>
  <c r="G13" i="3"/>
  <c r="C13" i="3"/>
  <c r="G12" i="3"/>
  <c r="C12" i="3"/>
  <c r="G11" i="3"/>
  <c r="C11" i="3"/>
  <c r="H13" i="3"/>
  <c r="D13" i="3"/>
  <c r="B13" i="3"/>
  <c r="A13" i="3"/>
  <c r="H12" i="3"/>
  <c r="B12" i="3"/>
  <c r="D12" i="3"/>
  <c r="A12" i="3"/>
  <c r="H11" i="3"/>
  <c r="D11" i="3"/>
  <c r="B11" i="3"/>
  <c r="A11" i="3"/>
  <c r="B2" i="2"/>
  <c r="C4" i="2"/>
  <c r="C7" i="2"/>
  <c r="D4" i="2"/>
  <c r="C8" i="2"/>
  <c r="F11" i="2"/>
  <c r="G11" i="2"/>
  <c r="E14" i="2"/>
  <c r="E15" i="2" s="1"/>
  <c r="C17" i="2"/>
  <c r="Q21" i="2"/>
  <c r="Q22" i="2"/>
  <c r="Q23" i="2"/>
  <c r="Q24" i="2"/>
  <c r="Q25" i="2"/>
  <c r="Q26" i="2"/>
  <c r="Q25" i="1"/>
  <c r="Q26" i="1"/>
  <c r="Q27" i="1"/>
  <c r="F16" i="1"/>
  <c r="Q24" i="1"/>
  <c r="Q23" i="1"/>
  <c r="D4" i="1"/>
  <c r="C4" i="1"/>
  <c r="C7" i="1"/>
  <c r="B2" i="1"/>
  <c r="Q22" i="1"/>
  <c r="C17" i="1"/>
  <c r="G28" i="1"/>
  <c r="K28" i="1"/>
  <c r="E22" i="1"/>
  <c r="F22" i="1"/>
  <c r="U25" i="1"/>
  <c r="K25" i="1"/>
  <c r="E25" i="1"/>
  <c r="F25" i="1"/>
  <c r="G22" i="1"/>
  <c r="E21" i="1"/>
  <c r="F21" i="1"/>
  <c r="G21" i="1"/>
  <c r="E23" i="1"/>
  <c r="F23" i="1"/>
  <c r="G23" i="1"/>
  <c r="J23" i="1"/>
  <c r="E26" i="1"/>
  <c r="F26" i="1"/>
  <c r="E28" i="1"/>
  <c r="F28" i="1"/>
  <c r="E27" i="1"/>
  <c r="F27" i="1"/>
  <c r="U27" i="1"/>
  <c r="K27" i="1"/>
  <c r="E24" i="1"/>
  <c r="F24" i="1"/>
  <c r="G24" i="1"/>
  <c r="K24" i="1"/>
  <c r="U26" i="1"/>
  <c r="K26" i="1"/>
  <c r="E21" i="2"/>
  <c r="F21" i="2"/>
  <c r="G21" i="2"/>
  <c r="E25" i="2"/>
  <c r="F25" i="2"/>
  <c r="G25" i="2"/>
  <c r="J25" i="2"/>
  <c r="E23" i="2"/>
  <c r="F23" i="2"/>
  <c r="G23" i="2"/>
  <c r="J23" i="2"/>
  <c r="E24" i="2"/>
  <c r="F24" i="2"/>
  <c r="G24" i="2"/>
  <c r="J24" i="2"/>
  <c r="E22" i="2"/>
  <c r="F22" i="2"/>
  <c r="G22" i="2"/>
  <c r="I22" i="2"/>
  <c r="E26" i="2"/>
  <c r="F26" i="2"/>
  <c r="G26" i="2"/>
  <c r="J26" i="2"/>
  <c r="E12" i="3"/>
  <c r="E11" i="3"/>
  <c r="H21" i="2"/>
  <c r="E13" i="3"/>
  <c r="C12" i="1"/>
  <c r="C11" i="1"/>
  <c r="C12" i="2"/>
  <c r="C16" i="2" l="1"/>
  <c r="D18" i="2" s="1"/>
  <c r="O26" i="1"/>
  <c r="O24" i="1"/>
  <c r="O25" i="1"/>
  <c r="O27" i="1"/>
  <c r="O21" i="1"/>
  <c r="C15" i="1"/>
  <c r="O23" i="1"/>
  <c r="O22" i="1"/>
  <c r="O28" i="1"/>
  <c r="C16" i="1"/>
  <c r="D18" i="1" s="1"/>
  <c r="F17" i="1"/>
  <c r="C11" i="2"/>
  <c r="O28" i="2" l="1"/>
  <c r="O22" i="2"/>
  <c r="O27" i="2"/>
  <c r="O26" i="2"/>
  <c r="O25" i="2"/>
  <c r="O23" i="2"/>
  <c r="O21" i="2"/>
  <c r="O24" i="2"/>
  <c r="C15" i="2"/>
  <c r="C18" i="1"/>
  <c r="F18" i="1"/>
  <c r="F19" i="1" s="1"/>
  <c r="C18" i="2" l="1"/>
  <c r="E16" i="2"/>
  <c r="E17" i="2" s="1"/>
</calcChain>
</file>

<file path=xl/sharedStrings.xml><?xml version="1.0" encoding="utf-8"?>
<sst xmlns="http://schemas.openxmlformats.org/spreadsheetml/2006/main" count="157" uniqueCount="82">
  <si>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</si>
  <si>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</si>
  <si>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</si>
  <si>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</si>
  <si>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</si>
  <si>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</si>
  <si>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</si>
  <si>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</si>
  <si>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</si>
  <si>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</si>
  <si>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</si>
  <si>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</si>
  <si>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</si>
  <si>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</si>
  <si>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</si>
  <si>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</si>
  <si>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</si>
  <si>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</si>
  <si>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</si>
  <si>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</si>
  <si>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</si>
  <si>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</si>
  <si>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</si>
  <si>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</si>
  <si>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</si>
  <si>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</si>
  <si>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</si>
  <si>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</si>
  <si>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</si>
  <si>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</si>
  <si>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</si>
  <si>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</si>
  <si>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</si>
  <si>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</si>
  <si>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</si>
  <si>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</si>
  <si>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</si>
  <si>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</si>
  <si>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</si>
  <si>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</si>
  <si>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V0376 Lyr / SVS 1514                     </t>
  </si>
  <si>
    <t xml:space="preserve">EA        </t>
  </si>
  <si>
    <t>IBVS 5713</t>
  </si>
  <si>
    <t>OEJV 0160</t>
  </si>
  <si>
    <t>OEJV</t>
  </si>
  <si>
    <t>Add cycle</t>
  </si>
  <si>
    <t>Old Cycle</t>
  </si>
  <si>
    <t>OEJV 0168</t>
  </si>
  <si>
    <t>II</t>
  </si>
  <si>
    <t>2015-12-19 no hope with ToMcat</t>
  </si>
  <si>
    <t>VSX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</si>
  <si>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</si>
  <si>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</si>
  <si>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</si>
  <si>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</si>
  <si>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</si>
  <si>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</si>
  <si>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</si>
  <si>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</si>
  <si>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</si>
  <si>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</si>
  <si>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</si>
  <si>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2451673.550 </t>
  </si>
  <si>
    <t> 09.05.2000 01:12 </t>
  </si>
  <si>
    <t> 0.076 </t>
  </si>
  <si>
    <t>E </t>
  </si>
  <si>
    <t>?</t>
  </si>
  <si>
    <t> R.Diethelm </t>
  </si>
  <si>
    <t> BBS 123 </t>
  </si>
  <si>
    <t>2453899.4893 </t>
  </si>
  <si>
    <t> 12.06.2006 23:44 </t>
  </si>
  <si>
    <t> 0.0793 </t>
  </si>
  <si>
    <t> R. Diethelm </t>
  </si>
  <si>
    <t>IBVS 5713 </t>
  </si>
  <si>
    <t>2456158.41001 </t>
  </si>
  <si>
    <t> 18.08.2012 21:50 </t>
  </si>
  <si>
    <t> 0.09264 </t>
  </si>
  <si>
    <t>C </t>
  </si>
  <si>
    <t> J.Trnka </t>
  </si>
  <si>
    <t>OEJV 0160 </t>
  </si>
  <si>
    <t>BAD?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</si>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</sst>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33" fillId="0" borderId="0"/>
    <xf numFmtId="0" fontId="22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9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6" fillId="0" borderId="0" xfId="0" applyFont="1">
      <alignment vertical="top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7" fillId="0" borderId="0" xfId="42" applyFont="1" applyAlignment="1">
      <alignment vertical="center"/>
    </xf>
    <xf numFmtId="0" fontId="37" fillId="0" borderId="0" xfId="42" applyFont="1" applyAlignment="1">
      <alignment horizontal="center" vertical="center"/>
    </xf>
    <xf numFmtId="0" fontId="37" fillId="0" borderId="0" xfId="42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V0376 Lyr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1'!$D$21:$D$222</c:f>
                <c:numCache>
                  <c:formatCode>General</c:formatCode>
                  <c:ptCount val="20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1'!$D$21:$D$222</c:f>
                <c:numCache>
                  <c:formatCode>General</c:formatCode>
                  <c:ptCount val="20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56-4396-8AFD-8303E625E0A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1'!$I$21:$I$982</c:f>
              <c:numCache>
                <c:formatCode>General</c:formatCode>
                <c:ptCount val="962"/>
                <c:pt idx="0">
                  <c:v>-4.090999995241873E-3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56-4396-8AFD-8303E625E0A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1'!$J$21:$J$982</c:f>
              <c:numCache>
                <c:formatCode>General</c:formatCode>
                <c:ptCount val="962"/>
                <c:pt idx="2">
                  <c:v>-1.003999997919891E-3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56-4396-8AFD-8303E625E0A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1'!$K$21:$K$982</c:f>
              <c:numCache>
                <c:formatCode>General</c:formatCode>
                <c:ptCount val="962"/>
                <c:pt idx="3">
                  <c:v>1.2340000001131557E-2</c:v>
                </c:pt>
                <c:pt idx="4">
                  <c:v>-9.9255500004801434E-2</c:v>
                </c:pt>
                <c:pt idx="5">
                  <c:v>-9.5815500004391652E-2</c:v>
                </c:pt>
                <c:pt idx="6">
                  <c:v>-9.281550000741845E-2</c:v>
                </c:pt>
                <c:pt idx="7">
                  <c:v>1.5914000003249384E-2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56-4396-8AFD-8303E625E0A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56-4396-8AFD-8303E625E0A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56-4396-8AFD-8303E625E0A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56-4396-8AFD-8303E625E0A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-4.9884191165968737E-3</c:v>
                </c:pt>
                <c:pt idx="1">
                  <c:v>-1.8686137459461389E-3</c:v>
                </c:pt>
                <c:pt idx="2">
                  <c:v>3.405274109537588E-3</c:v>
                </c:pt>
                <c:pt idx="3">
                  <c:v>1.192329692875637E-2</c:v>
                </c:pt>
                <c:pt idx="4">
                  <c:v>1.4555903777669708E-2</c:v>
                </c:pt>
                <c:pt idx="5">
                  <c:v>1.4555903777669708E-2</c:v>
                </c:pt>
                <c:pt idx="6">
                  <c:v>1.4555903777669708E-2</c:v>
                </c:pt>
                <c:pt idx="7">
                  <c:v>1.4687461835468235E-2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56-4396-8AFD-8303E625E0AC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1'!$U$21:$U$993</c:f>
              <c:numCache>
                <c:formatCode>General</c:formatCode>
                <c:ptCount val="973"/>
                <c:pt idx="4">
                  <c:v>-9.9255500004801434E-2</c:v>
                </c:pt>
                <c:pt idx="5">
                  <c:v>-9.5815500004391652E-2</c:v>
                </c:pt>
                <c:pt idx="6">
                  <c:v>-9.281550000741845E-2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56-4396-8AFD-8303E625E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307048"/>
        <c:axId val="1"/>
      </c:scatterChart>
      <c:valAx>
        <c:axId val="850307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307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V0376 Lyr - O-C Diagr.</a:t>
            </a:r>
          </a:p>
        </c:rich>
      </c:tx>
      <c:layout>
        <c:manualLayout>
          <c:xMode val="edge"/>
          <c:yMode val="edge"/>
          <c:x val="0.3768775074286885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213225256348032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1'!$D$21:$D$222</c:f>
                <c:numCache>
                  <c:formatCode>General</c:formatCode>
                  <c:ptCount val="20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1'!$D$21:$D$222</c:f>
                <c:numCache>
                  <c:formatCode>General</c:formatCode>
                  <c:ptCount val="20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AC-4900-9DD8-190C52DAC8D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1'!$I$21:$I$982</c:f>
              <c:numCache>
                <c:formatCode>General</c:formatCode>
                <c:ptCount val="962"/>
                <c:pt idx="0">
                  <c:v>-4.090999995241873E-3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AC-4900-9DD8-190C52DAC8D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1'!$J$21:$J$982</c:f>
              <c:numCache>
                <c:formatCode>General</c:formatCode>
                <c:ptCount val="962"/>
                <c:pt idx="2">
                  <c:v>-1.003999997919891E-3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AC-4900-9DD8-190C52DAC8D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1'!$K$21:$K$982</c:f>
              <c:numCache>
                <c:formatCode>General</c:formatCode>
                <c:ptCount val="962"/>
                <c:pt idx="3">
                  <c:v>1.2340000001131557E-2</c:v>
                </c:pt>
                <c:pt idx="4">
                  <c:v>-9.9255500004801434E-2</c:v>
                </c:pt>
                <c:pt idx="5">
                  <c:v>-9.5815500004391652E-2</c:v>
                </c:pt>
                <c:pt idx="6">
                  <c:v>-9.281550000741845E-2</c:v>
                </c:pt>
                <c:pt idx="7">
                  <c:v>1.5914000003249384E-2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AC-4900-9DD8-190C52DAC8D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AC-4900-9DD8-190C52DAC8D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AC-4900-9DD8-190C52DAC8D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AC-4900-9DD8-190C52DAC8D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-4.9884191165968737E-3</c:v>
                </c:pt>
                <c:pt idx="1">
                  <c:v>-1.8686137459461389E-3</c:v>
                </c:pt>
                <c:pt idx="2">
                  <c:v>3.405274109537588E-3</c:v>
                </c:pt>
                <c:pt idx="3">
                  <c:v>1.192329692875637E-2</c:v>
                </c:pt>
                <c:pt idx="4">
                  <c:v>1.4555903777669708E-2</c:v>
                </c:pt>
                <c:pt idx="5">
                  <c:v>1.4555903777669708E-2</c:v>
                </c:pt>
                <c:pt idx="6">
                  <c:v>1.4555903777669708E-2</c:v>
                </c:pt>
                <c:pt idx="7">
                  <c:v>1.4687461835468235E-2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AC-4900-9DD8-190C52DAC8D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-1079</c:v>
                </c:pt>
                <c:pt idx="1">
                  <c:v>0</c:v>
                </c:pt>
                <c:pt idx="2">
                  <c:v>1824</c:v>
                </c:pt>
                <c:pt idx="3">
                  <c:v>4770</c:v>
                </c:pt>
                <c:pt idx="4">
                  <c:v>5680.5</c:v>
                </c:pt>
                <c:pt idx="5">
                  <c:v>5680.5</c:v>
                </c:pt>
                <c:pt idx="6">
                  <c:v>5680.5</c:v>
                </c:pt>
                <c:pt idx="7">
                  <c:v>5726</c:v>
                </c:pt>
              </c:numCache>
            </c:numRef>
          </c:xVal>
          <c:yVal>
            <c:numRef>
              <c:f>'Active 1'!$U$21:$U$993</c:f>
              <c:numCache>
                <c:formatCode>General</c:formatCode>
                <c:ptCount val="973"/>
                <c:pt idx="4">
                  <c:v>-9.9255500004801434E-2</c:v>
                </c:pt>
                <c:pt idx="5">
                  <c:v>-9.5815500004391652E-2</c:v>
                </c:pt>
                <c:pt idx="6">
                  <c:v>-9.281550000741845E-2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AC-4900-9DD8-190C52DAC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073048"/>
        <c:axId val="1"/>
      </c:scatterChart>
      <c:valAx>
        <c:axId val="718073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073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570602098161153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V376 Lyr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Inactive!$D$21:$D$222</c:f>
                <c:numCache>
                  <c:formatCode>General</c:formatCode>
                  <c:ptCount val="20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Inactive!$D$21:$D$222</c:f>
                <c:numCache>
                  <c:formatCode>General</c:formatCode>
                  <c:ptCount val="20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Inactive!$F$21:$F$982</c:f>
              <c:numCache>
                <c:formatCode>General</c:formatCode>
                <c:ptCount val="962"/>
                <c:pt idx="0">
                  <c:v>-539.5</c:v>
                </c:pt>
                <c:pt idx="1">
                  <c:v>0</c:v>
                </c:pt>
                <c:pt idx="2">
                  <c:v>912</c:v>
                </c:pt>
                <c:pt idx="3">
                  <c:v>2385</c:v>
                </c:pt>
                <c:pt idx="4">
                  <c:v>2840</c:v>
                </c:pt>
                <c:pt idx="5">
                  <c:v>2840</c:v>
                </c:pt>
                <c:pt idx="6">
                  <c:v>2840</c:v>
                </c:pt>
                <c:pt idx="7">
                  <c:v>2863</c:v>
                </c:pt>
              </c:numCache>
            </c:numRef>
          </c:xVal>
          <c:yVal>
            <c:numRef>
              <c:f>Inactive!$H$21:$H$982</c:f>
              <c:numCache>
                <c:formatCode>General</c:formatCode>
                <c:ptCount val="962"/>
                <c:pt idx="0">
                  <c:v>1.3040000048931688E-3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54-4C4D-B4F6-9A6E22409A74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Inactive!$F$21:$F$982</c:f>
              <c:numCache>
                <c:formatCode>General</c:formatCode>
                <c:ptCount val="962"/>
                <c:pt idx="0">
                  <c:v>-539.5</c:v>
                </c:pt>
                <c:pt idx="1">
                  <c:v>0</c:v>
                </c:pt>
                <c:pt idx="2">
                  <c:v>912</c:v>
                </c:pt>
                <c:pt idx="3">
                  <c:v>2385</c:v>
                </c:pt>
                <c:pt idx="4">
                  <c:v>2840</c:v>
                </c:pt>
                <c:pt idx="5">
                  <c:v>2840</c:v>
                </c:pt>
                <c:pt idx="6">
                  <c:v>2840</c:v>
                </c:pt>
                <c:pt idx="7">
                  <c:v>2863</c:v>
                </c:pt>
              </c:numCache>
            </c:numRef>
          </c:xVal>
          <c:yVal>
            <c:numRef>
              <c:f>Inactive!$I$21:$I$982</c:f>
              <c:numCache>
                <c:formatCode>General</c:formatCode>
                <c:ptCount val="96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54-4C4D-B4F6-9A6E22409A74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Inactive!$F$21:$F$982</c:f>
              <c:numCache>
                <c:formatCode>General</c:formatCode>
                <c:ptCount val="962"/>
                <c:pt idx="0">
                  <c:v>-539.5</c:v>
                </c:pt>
                <c:pt idx="1">
                  <c:v>0</c:v>
                </c:pt>
                <c:pt idx="2">
                  <c:v>912</c:v>
                </c:pt>
                <c:pt idx="3">
                  <c:v>2385</c:v>
                </c:pt>
                <c:pt idx="4">
                  <c:v>2840</c:v>
                </c:pt>
                <c:pt idx="5">
                  <c:v>2840</c:v>
                </c:pt>
                <c:pt idx="6">
                  <c:v>2840</c:v>
                </c:pt>
                <c:pt idx="7">
                  <c:v>2863</c:v>
                </c:pt>
              </c:numCache>
            </c:numRef>
          </c:xVal>
          <c:yVal>
            <c:numRef>
              <c:f>Inactive!$J$21:$J$982</c:f>
              <c:numCache>
                <c:formatCode>General</c:formatCode>
                <c:ptCount val="962"/>
                <c:pt idx="2">
                  <c:v>-1.0124000000359956E-2</c:v>
                </c:pt>
                <c:pt idx="3">
                  <c:v>-1.1510000003909227E-2</c:v>
                </c:pt>
                <c:pt idx="4">
                  <c:v>0.2557299999971292</c:v>
                </c:pt>
                <c:pt idx="5">
                  <c:v>0.25916999999753898</c:v>
                </c:pt>
                <c:pt idx="6">
                  <c:v>0.26216999999451218</c:v>
                </c:pt>
                <c:pt idx="7">
                  <c:v>-1.2715999997453764E-2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54-4C4D-B4F6-9A6E22409A74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Inactive!$F$21:$F$982</c:f>
              <c:numCache>
                <c:formatCode>General</c:formatCode>
                <c:ptCount val="962"/>
                <c:pt idx="0">
                  <c:v>-539.5</c:v>
                </c:pt>
                <c:pt idx="1">
                  <c:v>0</c:v>
                </c:pt>
                <c:pt idx="2">
                  <c:v>912</c:v>
                </c:pt>
                <c:pt idx="3">
                  <c:v>2385</c:v>
                </c:pt>
                <c:pt idx="4">
                  <c:v>2840</c:v>
                </c:pt>
                <c:pt idx="5">
                  <c:v>2840</c:v>
                </c:pt>
                <c:pt idx="6">
                  <c:v>2840</c:v>
                </c:pt>
                <c:pt idx="7">
                  <c:v>2863</c:v>
                </c:pt>
              </c:numCache>
            </c:numRef>
          </c:xVal>
          <c:yVal>
            <c:numRef>
              <c:f>Inactive!$K$21:$K$982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54-4C4D-B4F6-9A6E22409A74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Inactive!$F$21:$F$982</c:f>
              <c:numCache>
                <c:formatCode>General</c:formatCode>
                <c:ptCount val="962"/>
                <c:pt idx="0">
                  <c:v>-539.5</c:v>
                </c:pt>
                <c:pt idx="1">
                  <c:v>0</c:v>
                </c:pt>
                <c:pt idx="2">
                  <c:v>912</c:v>
                </c:pt>
                <c:pt idx="3">
                  <c:v>2385</c:v>
                </c:pt>
                <c:pt idx="4">
                  <c:v>2840</c:v>
                </c:pt>
                <c:pt idx="5">
                  <c:v>2840</c:v>
                </c:pt>
                <c:pt idx="6">
                  <c:v>2840</c:v>
                </c:pt>
                <c:pt idx="7">
                  <c:v>2863</c:v>
                </c:pt>
              </c:numCache>
            </c:numRef>
          </c:xVal>
          <c:yVal>
            <c:numRef>
              <c:f>Inactive!$L$21:$L$982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54-4C4D-B4F6-9A6E22409A74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Inactive!$F$21:$F$982</c:f>
              <c:numCache>
                <c:formatCode>General</c:formatCode>
                <c:ptCount val="962"/>
                <c:pt idx="0">
                  <c:v>-539.5</c:v>
                </c:pt>
                <c:pt idx="1">
                  <c:v>0</c:v>
                </c:pt>
                <c:pt idx="2">
                  <c:v>912</c:v>
                </c:pt>
                <c:pt idx="3">
                  <c:v>2385</c:v>
                </c:pt>
                <c:pt idx="4">
                  <c:v>2840</c:v>
                </c:pt>
                <c:pt idx="5">
                  <c:v>2840</c:v>
                </c:pt>
                <c:pt idx="6">
                  <c:v>2840</c:v>
                </c:pt>
                <c:pt idx="7">
                  <c:v>2863</c:v>
                </c:pt>
              </c:numCache>
            </c:numRef>
          </c:xVal>
          <c:yVal>
            <c:numRef>
              <c:f>Inactive!$M$21:$M$982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54-4C4D-B4F6-9A6E22409A74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Inactive!$D$21:$D$982</c:f>
                <c:numCache>
                  <c:formatCode>General</c:formatCode>
                  <c:ptCount val="962"/>
                  <c:pt idx="2">
                    <c:v>5.9999999999999995E-4</c:v>
                  </c:pt>
                  <c:pt idx="3">
                    <c:v>1E-4</c:v>
                  </c:pt>
                  <c:pt idx="4">
                    <c:v>3.0999999999999999E-3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Inactive!$F$21:$F$982</c:f>
              <c:numCache>
                <c:formatCode>General</c:formatCode>
                <c:ptCount val="962"/>
                <c:pt idx="0">
                  <c:v>-539.5</c:v>
                </c:pt>
                <c:pt idx="1">
                  <c:v>0</c:v>
                </c:pt>
                <c:pt idx="2">
                  <c:v>912</c:v>
                </c:pt>
                <c:pt idx="3">
                  <c:v>2385</c:v>
                </c:pt>
                <c:pt idx="4">
                  <c:v>2840</c:v>
                </c:pt>
                <c:pt idx="5">
                  <c:v>2840</c:v>
                </c:pt>
                <c:pt idx="6">
                  <c:v>2840</c:v>
                </c:pt>
                <c:pt idx="7">
                  <c:v>2863</c:v>
                </c:pt>
              </c:numCache>
            </c:numRef>
          </c:xVal>
          <c:yVal>
            <c:numRef>
              <c:f>Inactive!$N$21:$N$982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54-4C4D-B4F6-9A6E22409A74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Inactive!$F$21:$F$982</c:f>
              <c:numCache>
                <c:formatCode>General</c:formatCode>
                <c:ptCount val="962"/>
                <c:pt idx="0">
                  <c:v>-539.5</c:v>
                </c:pt>
                <c:pt idx="1">
                  <c:v>0</c:v>
                </c:pt>
                <c:pt idx="2">
                  <c:v>912</c:v>
                </c:pt>
                <c:pt idx="3">
                  <c:v>2385</c:v>
                </c:pt>
                <c:pt idx="4">
                  <c:v>2840</c:v>
                </c:pt>
                <c:pt idx="5">
                  <c:v>2840</c:v>
                </c:pt>
                <c:pt idx="6">
                  <c:v>2840</c:v>
                </c:pt>
                <c:pt idx="7">
                  <c:v>2863</c:v>
                </c:pt>
              </c:numCache>
            </c:numRef>
          </c:xVal>
          <c:yVal>
            <c:numRef>
              <c:f>Inactive!$O$21:$O$982</c:f>
              <c:numCache>
                <c:formatCode>General</c:formatCode>
                <c:ptCount val="962"/>
                <c:pt idx="0">
                  <c:v>-3.979582146263707E-2</c:v>
                </c:pt>
                <c:pt idx="1">
                  <c:v>-8.7411949934465549E-3</c:v>
                </c:pt>
                <c:pt idx="2">
                  <c:v>4.3755226396547421E-2</c:v>
                </c:pt>
                <c:pt idx="3">
                  <c:v>0.12854385436525478</c:v>
                </c:pt>
                <c:pt idx="4">
                  <c:v>0.15473450319469259</c:v>
                </c:pt>
                <c:pt idx="5">
                  <c:v>0.15473450319469259</c:v>
                </c:pt>
                <c:pt idx="6">
                  <c:v>0.15473450319469259</c:v>
                </c:pt>
                <c:pt idx="7">
                  <c:v>0.15605842610255427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54-4C4D-B4F6-9A6E22409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679400"/>
        <c:axId val="1"/>
      </c:scatterChart>
      <c:valAx>
        <c:axId val="522679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67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03977E4-64DB-1BAF-0E86-729B54EC7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619125</xdr:colOff>
      <xdr:row>0</xdr:row>
      <xdr:rowOff>9525</xdr:rowOff>
    </xdr:from>
    <xdr:to>
      <xdr:col>27</xdr:col>
      <xdr:colOff>104775</xdr:colOff>
      <xdr:row>19</xdr:row>
      <xdr:rowOff>19050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202414E-F4E2-13CC-9EF4-E487679A9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ED065B48-C18E-D998-8B25-B91F544F2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71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7" sqref="F3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>
      <c r="A1" s="1" t="s">
        <v>40</v>
      </c>
      <c r="F1" s="3">
        <v>52500.9</v>
      </c>
      <c r="G1" s="3">
        <v>1.533552</v>
      </c>
      <c r="H1" s="3" t="s">
        <v>41</v>
      </c>
    </row>
    <row r="2" spans="1:8" s="57" customFormat="1" ht="12.95" customHeight="1">
      <c r="A2" s="57" t="s">
        <v>22</v>
      </c>
      <c r="B2" s="57" t="str">
        <f>H1</f>
        <v xml:space="preserve">EA        </v>
      </c>
      <c r="C2" s="58"/>
      <c r="D2" s="58"/>
    </row>
    <row r="3" spans="1:8" s="57" customFormat="1" ht="12.95" customHeight="1" thickBot="1"/>
    <row r="4" spans="1:8" s="57" customFormat="1" ht="12.95" customHeight="1" thickTop="1" thickBot="1">
      <c r="A4" s="59" t="s">
        <v>39</v>
      </c>
      <c r="C4" s="60">
        <f>F1</f>
        <v>52500.9</v>
      </c>
      <c r="D4" s="61">
        <f>G1</f>
        <v>1.533552</v>
      </c>
    </row>
    <row r="5" spans="1:8" s="57" customFormat="1" ht="12.95" customHeight="1" thickTop="1">
      <c r="A5" s="62" t="s">
        <v>29</v>
      </c>
      <c r="C5" s="63">
        <v>-9.5</v>
      </c>
      <c r="D5" s="57" t="s">
        <v>30</v>
      </c>
    </row>
    <row r="6" spans="1:8" s="57" customFormat="1" ht="12.95" customHeight="1">
      <c r="A6" s="59" t="s">
        <v>0</v>
      </c>
    </row>
    <row r="7" spans="1:8" s="57" customFormat="1" ht="12.95" customHeight="1">
      <c r="A7" s="57" t="s">
        <v>1</v>
      </c>
      <c r="C7" s="57">
        <f>C4</f>
        <v>52500.9</v>
      </c>
      <c r="D7" s="64" t="s">
        <v>49</v>
      </c>
    </row>
    <row r="8" spans="1:8" s="57" customFormat="1" ht="12.95" customHeight="1">
      <c r="A8" s="57" t="s">
        <v>2</v>
      </c>
      <c r="C8" s="57">
        <v>0.76677099999999998</v>
      </c>
      <c r="D8" s="57" t="s">
        <v>50</v>
      </c>
    </row>
    <row r="9" spans="1:8" s="57" customFormat="1" ht="12.95" customHeight="1">
      <c r="A9" s="65" t="s">
        <v>35</v>
      </c>
      <c r="B9" s="66">
        <v>21</v>
      </c>
      <c r="C9" s="67" t="str">
        <f>"F"&amp;B9</f>
        <v>F21</v>
      </c>
      <c r="D9" s="68" t="str">
        <f>"G"&amp;B9</f>
        <v>G21</v>
      </c>
    </row>
    <row r="10" spans="1:8" s="57" customFormat="1" ht="12.95" customHeight="1" thickBot="1">
      <c r="C10" s="69" t="s">
        <v>18</v>
      </c>
      <c r="D10" s="69" t="s">
        <v>19</v>
      </c>
    </row>
    <row r="11" spans="1:8" s="57" customFormat="1" ht="12.95" customHeight="1">
      <c r="A11" s="57" t="s">
        <v>14</v>
      </c>
      <c r="C11" s="68">
        <f ca="1">INTERCEPT(INDIRECT($D$9):G975,INDIRECT($C$9):F975)</f>
        <v>-1.8686137459461389E-3</v>
      </c>
      <c r="D11" s="58"/>
    </row>
    <row r="12" spans="1:8" s="57" customFormat="1" ht="12.95" customHeight="1">
      <c r="A12" s="57" t="s">
        <v>15</v>
      </c>
      <c r="C12" s="68">
        <f ca="1">SLOPE(INDIRECT($D$9):G975,INDIRECT($C$9):F975)</f>
        <v>2.8913858856818678E-6</v>
      </c>
      <c r="D12" s="58"/>
    </row>
    <row r="13" spans="1:8" s="57" customFormat="1" ht="12.95" customHeight="1">
      <c r="A13" s="57" t="s">
        <v>17</v>
      </c>
      <c r="C13" s="58" t="s">
        <v>12</v>
      </c>
    </row>
    <row r="14" spans="1:8" s="57" customFormat="1" ht="12.95" customHeight="1"/>
    <row r="15" spans="1:8" s="57" customFormat="1" ht="12.95" customHeight="1">
      <c r="A15" s="70" t="s">
        <v>16</v>
      </c>
      <c r="C15" s="71">
        <f ca="1">(C7+C11)+(C8+C12)*INT(MAX(F21:F3516))</f>
        <v>56891.445433461835</v>
      </c>
      <c r="E15" s="72" t="s">
        <v>45</v>
      </c>
      <c r="F15" s="63">
        <v>1</v>
      </c>
    </row>
    <row r="16" spans="1:8" s="57" customFormat="1" ht="12.95" customHeight="1">
      <c r="A16" s="59" t="s">
        <v>3</v>
      </c>
      <c r="C16" s="73">
        <f ca="1">+C8+C12</f>
        <v>0.7667738913858857</v>
      </c>
      <c r="E16" s="72" t="s">
        <v>31</v>
      </c>
      <c r="F16" s="74">
        <f ca="1">NOW()+15018.5+$C$5/24</f>
        <v>60359.749784722218</v>
      </c>
    </row>
    <row r="17" spans="1:21" s="57" customFormat="1" ht="12.95" customHeight="1" thickBot="1">
      <c r="A17" s="72" t="s">
        <v>28</v>
      </c>
      <c r="C17" s="57">
        <f>COUNT(C21:C2174)</f>
        <v>8</v>
      </c>
      <c r="E17" s="72" t="s">
        <v>46</v>
      </c>
      <c r="F17" s="74">
        <f ca="1">ROUND(2*(F16-$C$7)/$C$8,0)/2+F15</f>
        <v>10250.5</v>
      </c>
    </row>
    <row r="18" spans="1:21" s="57" customFormat="1" ht="12.95" customHeight="1" thickTop="1" thickBot="1">
      <c r="A18" s="59" t="s">
        <v>4</v>
      </c>
      <c r="C18" s="75">
        <f ca="1">+C15</f>
        <v>56891.445433461835</v>
      </c>
      <c r="D18" s="76">
        <f ca="1">+C16</f>
        <v>0.7667738913858857</v>
      </c>
      <c r="E18" s="72" t="s">
        <v>32</v>
      </c>
      <c r="F18" s="68">
        <f ca="1">ROUND(2*(F16-$C$15)/$C$16,0)/2+F15</f>
        <v>4524</v>
      </c>
    </row>
    <row r="19" spans="1:21" s="57" customFormat="1" ht="12.95" customHeight="1" thickTop="1">
      <c r="E19" s="72" t="s">
        <v>33</v>
      </c>
      <c r="F19" s="77">
        <f ca="1">+$C$15+$C$16*F18-15018.5-$C$5/24</f>
        <v>45342.226351424921</v>
      </c>
    </row>
    <row r="20" spans="1:21" s="57" customFormat="1" ht="12.95" customHeight="1" thickBot="1">
      <c r="A20" s="69" t="s">
        <v>5</v>
      </c>
      <c r="B20" s="69" t="s">
        <v>6</v>
      </c>
      <c r="C20" s="69" t="s">
        <v>7</v>
      </c>
      <c r="D20" s="69" t="s">
        <v>11</v>
      </c>
      <c r="E20" s="69" t="s">
        <v>8</v>
      </c>
      <c r="F20" s="69" t="s">
        <v>9</v>
      </c>
      <c r="G20" s="69" t="s">
        <v>10</v>
      </c>
      <c r="H20" s="78" t="s">
        <v>58</v>
      </c>
      <c r="I20" s="78" t="s">
        <v>61</v>
      </c>
      <c r="J20" s="78" t="s">
        <v>55</v>
      </c>
      <c r="K20" s="78" t="s">
        <v>53</v>
      </c>
      <c r="L20" s="78" t="s">
        <v>24</v>
      </c>
      <c r="M20" s="78" t="s">
        <v>25</v>
      </c>
      <c r="N20" s="78" t="s">
        <v>26</v>
      </c>
      <c r="O20" s="78" t="s">
        <v>21</v>
      </c>
      <c r="P20" s="79" t="s">
        <v>20</v>
      </c>
      <c r="Q20" s="69" t="s">
        <v>13</v>
      </c>
      <c r="U20" s="80" t="s">
        <v>80</v>
      </c>
    </row>
    <row r="21" spans="1:21" s="57" customFormat="1" ht="12.95" customHeight="1">
      <c r="A21" s="81" t="s">
        <v>68</v>
      </c>
      <c r="B21" s="82" t="s">
        <v>36</v>
      </c>
      <c r="C21" s="83">
        <v>51673.55</v>
      </c>
      <c r="D21" s="84"/>
      <c r="E21" s="57">
        <f t="shared" ref="E21:E27" si="0">+(C21-C$7)/C$8</f>
        <v>-1079.0053353608816</v>
      </c>
      <c r="F21" s="57">
        <f t="shared" ref="F21:F28" si="1">ROUND(2*E21,0)/2</f>
        <v>-1079</v>
      </c>
      <c r="G21" s="57">
        <f>+C21-(C$7+F21*C$8)</f>
        <v>-4.090999995241873E-3</v>
      </c>
      <c r="I21" s="57">
        <f>+G21</f>
        <v>-4.090999995241873E-3</v>
      </c>
      <c r="O21" s="57">
        <f t="shared" ref="O21:O27" ca="1" si="2">+C$11+C$12*$F21</f>
        <v>-4.9884191165968737E-3</v>
      </c>
      <c r="Q21" s="85">
        <f t="shared" ref="Q21:Q27" si="3">+C21-15018.5</f>
        <v>36655.050000000003</v>
      </c>
    </row>
    <row r="22" spans="1:21" s="57" customFormat="1" ht="12.95" customHeight="1">
      <c r="A22" s="86" t="s">
        <v>38</v>
      </c>
      <c r="B22" s="87" t="s">
        <v>36</v>
      </c>
      <c r="C22" s="86">
        <v>52500.9</v>
      </c>
      <c r="D22" s="88"/>
      <c r="E22" s="57">
        <f t="shared" si="0"/>
        <v>0</v>
      </c>
      <c r="F22" s="57">
        <f t="shared" si="1"/>
        <v>0</v>
      </c>
      <c r="G22" s="57">
        <f>+C22-(C$7+F22*C$8)</f>
        <v>0</v>
      </c>
      <c r="I22" s="57">
        <f>+U22</f>
        <v>0</v>
      </c>
      <c r="O22" s="57">
        <f t="shared" ca="1" si="2"/>
        <v>-1.8686137459461389E-3</v>
      </c>
      <c r="Q22" s="85">
        <f t="shared" si="3"/>
        <v>37482.400000000001</v>
      </c>
    </row>
    <row r="23" spans="1:21" s="57" customFormat="1" ht="12.95" customHeight="1">
      <c r="A23" s="86" t="s">
        <v>42</v>
      </c>
      <c r="B23" s="87" t="s">
        <v>36</v>
      </c>
      <c r="C23" s="86">
        <v>53899.489300000001</v>
      </c>
      <c r="D23" s="86">
        <v>5.9999999999999995E-4</v>
      </c>
      <c r="E23" s="57">
        <f t="shared" si="0"/>
        <v>1823.9986906129727</v>
      </c>
      <c r="F23" s="57">
        <f t="shared" si="1"/>
        <v>1824</v>
      </c>
      <c r="G23" s="57">
        <f>+C23-(C$7+F23*C$8)</f>
        <v>-1.003999997919891E-3</v>
      </c>
      <c r="J23" s="57">
        <f>+G23</f>
        <v>-1.003999997919891E-3</v>
      </c>
      <c r="O23" s="57">
        <f t="shared" ca="1" si="2"/>
        <v>3.405274109537588E-3</v>
      </c>
      <c r="Q23" s="85">
        <f t="shared" si="3"/>
        <v>38880.989300000001</v>
      </c>
    </row>
    <row r="24" spans="1:21" s="57" customFormat="1" ht="12.95" customHeight="1">
      <c r="A24" s="89" t="s">
        <v>43</v>
      </c>
      <c r="B24" s="90" t="s">
        <v>36</v>
      </c>
      <c r="C24" s="91">
        <v>56158.41001</v>
      </c>
      <c r="D24" s="91">
        <v>1E-4</v>
      </c>
      <c r="E24" s="57">
        <f t="shared" si="0"/>
        <v>4770.0160934620617</v>
      </c>
      <c r="F24" s="57">
        <f t="shared" si="1"/>
        <v>4770</v>
      </c>
      <c r="G24" s="57">
        <f>+C24-(C$7+F24*C$8)</f>
        <v>1.2340000001131557E-2</v>
      </c>
      <c r="K24" s="57">
        <f>+G24</f>
        <v>1.2340000001131557E-2</v>
      </c>
      <c r="O24" s="57">
        <f t="shared" ca="1" si="2"/>
        <v>1.192329692875637E-2</v>
      </c>
      <c r="Q24" s="85">
        <f t="shared" si="3"/>
        <v>41139.91001</v>
      </c>
    </row>
    <row r="25" spans="1:21" s="57" customFormat="1" ht="12.95" customHeight="1">
      <c r="A25" s="91" t="s">
        <v>47</v>
      </c>
      <c r="B25" s="90" t="s">
        <v>48</v>
      </c>
      <c r="C25" s="92">
        <v>56856.44341</v>
      </c>
      <c r="D25" s="91">
        <v>3.0999999999999999E-3</v>
      </c>
      <c r="E25" s="57">
        <f t="shared" si="0"/>
        <v>5680.3705539202692</v>
      </c>
      <c r="F25" s="57">
        <f t="shared" si="1"/>
        <v>5680.5</v>
      </c>
      <c r="K25" s="57">
        <f>+U25</f>
        <v>-9.9255500004801434E-2</v>
      </c>
      <c r="O25" s="57">
        <f t="shared" ca="1" si="2"/>
        <v>1.4555903777669708E-2</v>
      </c>
      <c r="Q25" s="85">
        <f t="shared" si="3"/>
        <v>41837.94341</v>
      </c>
      <c r="U25" s="57">
        <f>+C25-(C$7+F25*C$8)</f>
        <v>-9.9255500004801434E-2</v>
      </c>
    </row>
    <row r="26" spans="1:21" s="57" customFormat="1" ht="12.95" customHeight="1">
      <c r="A26" s="91" t="s">
        <v>47</v>
      </c>
      <c r="B26" s="90" t="s">
        <v>48</v>
      </c>
      <c r="C26" s="92">
        <v>56856.44685</v>
      </c>
      <c r="D26" s="91">
        <v>1.6999999999999999E-3</v>
      </c>
      <c r="E26" s="57">
        <f t="shared" si="0"/>
        <v>5680.3750402662581</v>
      </c>
      <c r="F26" s="57">
        <f t="shared" si="1"/>
        <v>5680.5</v>
      </c>
      <c r="K26" s="57">
        <f>+U26</f>
        <v>-9.5815500004391652E-2</v>
      </c>
      <c r="O26" s="57">
        <f t="shared" ca="1" si="2"/>
        <v>1.4555903777669708E-2</v>
      </c>
      <c r="Q26" s="85">
        <f t="shared" si="3"/>
        <v>41837.94685</v>
      </c>
      <c r="U26" s="57">
        <f>+C26-(C$7+F26*C$8)</f>
        <v>-9.5815500004391652E-2</v>
      </c>
    </row>
    <row r="27" spans="1:21" s="57" customFormat="1" ht="12.95" customHeight="1">
      <c r="A27" s="91" t="s">
        <v>47</v>
      </c>
      <c r="B27" s="90" t="s">
        <v>48</v>
      </c>
      <c r="C27" s="92">
        <v>56856.449849999997</v>
      </c>
      <c r="D27" s="91">
        <v>1.8E-3</v>
      </c>
      <c r="E27" s="57">
        <f t="shared" si="0"/>
        <v>5680.3789527772906</v>
      </c>
      <c r="F27" s="57">
        <f t="shared" si="1"/>
        <v>5680.5</v>
      </c>
      <c r="K27" s="57">
        <f>+U27</f>
        <v>-9.281550000741845E-2</v>
      </c>
      <c r="O27" s="57">
        <f t="shared" ca="1" si="2"/>
        <v>1.4555903777669708E-2</v>
      </c>
      <c r="Q27" s="85">
        <f t="shared" si="3"/>
        <v>41837.949849999997</v>
      </c>
      <c r="U27" s="57">
        <f>+C27-(C$7+F27*C$8)</f>
        <v>-9.281550000741845E-2</v>
      </c>
    </row>
    <row r="28" spans="1:21" s="57" customFormat="1" ht="12.95" customHeight="1">
      <c r="A28" s="93" t="s">
        <v>81</v>
      </c>
      <c r="B28" s="94" t="s">
        <v>36</v>
      </c>
      <c r="C28" s="95">
        <v>56891.446660000001</v>
      </c>
      <c r="D28" s="95">
        <v>8.0000000000000004E-4</v>
      </c>
      <c r="E28" s="57">
        <f>+(C28-C$7)/C$8</f>
        <v>5726.0207545668782</v>
      </c>
      <c r="F28" s="57">
        <f t="shared" si="1"/>
        <v>5726</v>
      </c>
      <c r="G28" s="57">
        <f>+C28-(C$7+F28*C$8)</f>
        <v>1.5914000003249384E-2</v>
      </c>
      <c r="K28" s="57">
        <f>+G28</f>
        <v>1.5914000003249384E-2</v>
      </c>
      <c r="O28" s="57">
        <f ca="1">+C$11+C$12*$F28</f>
        <v>1.4687461835468235E-2</v>
      </c>
      <c r="Q28" s="85">
        <f>+C28-15018.5</f>
        <v>41872.946660000001</v>
      </c>
    </row>
    <row r="29" spans="1:21" s="57" customFormat="1" ht="12.95" customHeight="1">
      <c r="C29" s="84"/>
      <c r="D29" s="84"/>
    </row>
    <row r="30" spans="1:21" s="57" customFormat="1" ht="12.95" customHeight="1">
      <c r="C30" s="84"/>
      <c r="D30" s="84"/>
    </row>
    <row r="31" spans="1:21" s="57" customFormat="1" ht="12.95" customHeight="1">
      <c r="C31" s="84"/>
      <c r="D31" s="84"/>
    </row>
    <row r="32" spans="1:21" s="57" customFormat="1" ht="12.95" customHeight="1">
      <c r="C32" s="84"/>
      <c r="D32" s="84"/>
    </row>
    <row r="33" spans="3:4" s="57" customFormat="1" ht="12.95" customHeight="1">
      <c r="C33" s="84"/>
      <c r="D33" s="84"/>
    </row>
    <row r="34" spans="3:4" s="57" customFormat="1" ht="12.95" customHeight="1">
      <c r="C34" s="84"/>
      <c r="D34" s="84"/>
    </row>
    <row r="35" spans="3:4" s="57" customFormat="1" ht="12.95" customHeight="1">
      <c r="C35" s="84"/>
      <c r="D35" s="84"/>
    </row>
    <row r="36" spans="3:4" s="57" customFormat="1" ht="12.95" customHeight="1">
      <c r="C36" s="84"/>
      <c r="D36" s="84"/>
    </row>
    <row r="37" spans="3:4" s="57" customFormat="1" ht="12.95" customHeight="1">
      <c r="C37" s="84"/>
      <c r="D37" s="84"/>
    </row>
    <row r="38" spans="3:4" s="57" customFormat="1" ht="12.95" customHeight="1">
      <c r="C38" s="84"/>
      <c r="D38" s="84"/>
    </row>
    <row r="39" spans="3:4" s="57" customFormat="1" ht="12.95" customHeight="1">
      <c r="C39" s="84"/>
      <c r="D39" s="84"/>
    </row>
    <row r="40" spans="3:4" s="57" customFormat="1" ht="12.95" customHeight="1">
      <c r="C40" s="84"/>
      <c r="D40" s="84"/>
    </row>
    <row r="41" spans="3:4" s="57" customFormat="1" ht="12.95" customHeight="1">
      <c r="C41" s="84"/>
      <c r="D41" s="84"/>
    </row>
    <row r="42" spans="3:4" s="57" customFormat="1" ht="12.95" customHeight="1">
      <c r="C42" s="84"/>
      <c r="D42" s="84"/>
    </row>
    <row r="43" spans="3:4" s="57" customFormat="1" ht="12.95" customHeight="1">
      <c r="C43" s="84"/>
      <c r="D43" s="84"/>
    </row>
    <row r="44" spans="3:4" s="57" customFormat="1" ht="12.95" customHeight="1">
      <c r="C44" s="84"/>
      <c r="D44" s="84"/>
    </row>
    <row r="45" spans="3:4" s="57" customFormat="1" ht="12.95" customHeight="1">
      <c r="C45" s="84"/>
      <c r="D45" s="84"/>
    </row>
    <row r="46" spans="3:4" s="57" customFormat="1" ht="12.95" customHeight="1">
      <c r="C46" s="84"/>
      <c r="D46" s="84"/>
    </row>
    <row r="47" spans="3:4" s="57" customFormat="1" ht="12.95" customHeight="1">
      <c r="C47" s="84"/>
      <c r="D47" s="84"/>
    </row>
    <row r="48" spans="3:4" s="57" customFormat="1" ht="12.95" customHeight="1">
      <c r="C48" s="84"/>
      <c r="D48" s="84"/>
    </row>
    <row r="49" spans="3:4" s="57" customFormat="1" ht="12.95" customHeight="1">
      <c r="C49" s="84"/>
      <c r="D49" s="84"/>
    </row>
    <row r="50" spans="3:4" s="57" customFormat="1" ht="12.95" customHeight="1">
      <c r="C50" s="84"/>
      <c r="D50" s="84"/>
    </row>
    <row r="51" spans="3:4" s="57" customFormat="1" ht="12.95" customHeight="1">
      <c r="C51" s="84"/>
      <c r="D51" s="84"/>
    </row>
    <row r="52" spans="3:4" s="57" customFormat="1" ht="12.95" customHeight="1">
      <c r="C52" s="84"/>
      <c r="D52" s="84"/>
    </row>
    <row r="53" spans="3:4" s="57" customFormat="1" ht="12.95" customHeight="1">
      <c r="C53" s="84"/>
      <c r="D53" s="84"/>
    </row>
    <row r="54" spans="3:4" s="57" customFormat="1" ht="12.95" customHeight="1">
      <c r="C54" s="84"/>
      <c r="D54" s="84"/>
    </row>
    <row r="55" spans="3:4" s="57" customFormat="1" ht="12.95" customHeight="1">
      <c r="C55" s="84"/>
      <c r="D55" s="84"/>
    </row>
    <row r="56" spans="3:4" s="57" customFormat="1" ht="12.95" customHeight="1">
      <c r="C56" s="84"/>
      <c r="D56" s="84"/>
    </row>
    <row r="57" spans="3:4" s="57" customFormat="1" ht="12.95" customHeight="1">
      <c r="C57" s="84"/>
      <c r="D57" s="84"/>
    </row>
    <row r="58" spans="3:4" s="57" customFormat="1" ht="12.95" customHeight="1">
      <c r="C58" s="84"/>
      <c r="D58" s="84"/>
    </row>
    <row r="59" spans="3:4" s="57" customFormat="1" ht="12.95" customHeight="1">
      <c r="C59" s="84"/>
      <c r="D59" s="84"/>
    </row>
    <row r="60" spans="3:4" s="57" customFormat="1" ht="12.95" customHeight="1">
      <c r="C60" s="84"/>
      <c r="D60" s="84"/>
    </row>
    <row r="61" spans="3:4" s="57" customFormat="1" ht="12.95" customHeight="1">
      <c r="C61" s="84"/>
      <c r="D61" s="84"/>
    </row>
    <row r="62" spans="3:4" s="57" customFormat="1" ht="12.95" customHeight="1">
      <c r="C62" s="84"/>
      <c r="D62" s="84"/>
    </row>
    <row r="63" spans="3:4" s="57" customFormat="1" ht="12.95" customHeight="1">
      <c r="C63" s="84"/>
      <c r="D63" s="84"/>
    </row>
    <row r="64" spans="3:4" s="57" customFormat="1" ht="12.95" customHeight="1">
      <c r="C64" s="84"/>
      <c r="D64" s="84"/>
    </row>
    <row r="65" spans="3:4" s="57" customFormat="1" ht="12.95" customHeight="1">
      <c r="C65" s="84"/>
      <c r="D65" s="84"/>
    </row>
    <row r="66" spans="3:4" s="57" customFormat="1" ht="12.95" customHeight="1">
      <c r="C66" s="84"/>
      <c r="D66" s="84"/>
    </row>
    <row r="67" spans="3:4" s="57" customFormat="1" ht="12.95" customHeight="1">
      <c r="C67" s="84"/>
      <c r="D67" s="84"/>
    </row>
    <row r="68" spans="3:4" s="57" customFormat="1" ht="12.95" customHeight="1">
      <c r="C68" s="84"/>
      <c r="D68" s="84"/>
    </row>
    <row r="69" spans="3:4" s="57" customFormat="1" ht="12.95" customHeight="1">
      <c r="C69" s="84"/>
      <c r="D69" s="84"/>
    </row>
    <row r="70" spans="3:4" s="57" customFormat="1" ht="12.95" customHeight="1">
      <c r="C70" s="84"/>
      <c r="D70" s="84"/>
    </row>
    <row r="71" spans="3:4" s="57" customFormat="1" ht="12.95" customHeight="1">
      <c r="C71" s="84"/>
      <c r="D71" s="84"/>
    </row>
    <row r="72" spans="3:4" s="57" customFormat="1" ht="12.95" customHeight="1">
      <c r="C72" s="84"/>
      <c r="D72" s="84"/>
    </row>
    <row r="73" spans="3:4" s="57" customFormat="1" ht="12.95" customHeight="1">
      <c r="C73" s="84"/>
      <c r="D73" s="84"/>
    </row>
    <row r="74" spans="3:4" s="57" customFormat="1" ht="12.95" customHeight="1">
      <c r="C74" s="84"/>
      <c r="D74" s="84"/>
    </row>
    <row r="75" spans="3:4" s="57" customFormat="1" ht="12.95" customHeight="1">
      <c r="C75" s="84"/>
      <c r="D75" s="84"/>
    </row>
    <row r="76" spans="3:4" s="57" customFormat="1" ht="12.95" customHeight="1">
      <c r="C76" s="84"/>
      <c r="D76" s="84"/>
    </row>
    <row r="77" spans="3:4" s="57" customFormat="1" ht="12.95" customHeight="1">
      <c r="C77" s="84"/>
      <c r="D77" s="84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7"/>
  <sheetViews>
    <sheetView workbookViewId="0">
      <selection activeCell="A11" sqref="A11:C11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7" t="s">
        <v>51</v>
      </c>
      <c r="I1" s="38" t="s">
        <v>52</v>
      </c>
      <c r="J1" s="39" t="s">
        <v>53</v>
      </c>
    </row>
    <row r="2" spans="1:16">
      <c r="I2" s="40" t="s">
        <v>54</v>
      </c>
      <c r="J2" s="41" t="s">
        <v>55</v>
      </c>
    </row>
    <row r="3" spans="1:16">
      <c r="A3" s="42" t="s">
        <v>56</v>
      </c>
      <c r="I3" s="40" t="s">
        <v>57</v>
      </c>
      <c r="J3" s="41" t="s">
        <v>58</v>
      </c>
    </row>
    <row r="4" spans="1:16">
      <c r="I4" s="40" t="s">
        <v>59</v>
      </c>
      <c r="J4" s="41" t="s">
        <v>58</v>
      </c>
    </row>
    <row r="5" spans="1:16" ht="13.5" thickBot="1">
      <c r="I5" s="43" t="s">
        <v>60</v>
      </c>
      <c r="J5" s="44" t="s">
        <v>61</v>
      </c>
    </row>
    <row r="10" spans="1:16" ht="13.5" thickBot="1"/>
    <row r="11" spans="1:16" ht="12.75" customHeight="1" thickBot="1">
      <c r="A11" s="10" t="str">
        <f>P11</f>
        <v> BBS 123 </v>
      </c>
      <c r="B11" s="3" t="str">
        <f>IF(H11=INT(H11),"I","II")</f>
        <v>I</v>
      </c>
      <c r="C11" s="10">
        <f>1*G11</f>
        <v>51673.55</v>
      </c>
      <c r="D11" s="12" t="str">
        <f>VLOOKUP(F11,I$1:J$5,2,FALSE)</f>
        <v>vis</v>
      </c>
      <c r="E11" s="45">
        <f>VLOOKUP(C11,'Active 1'!C$21:E$973,3,FALSE)</f>
        <v>-1079.0053353608816</v>
      </c>
      <c r="F11" s="3" t="s">
        <v>60</v>
      </c>
      <c r="G11" s="12" t="str">
        <f>MID(I11,3,LEN(I11)-3)</f>
        <v>51673.550</v>
      </c>
      <c r="H11" s="10">
        <f>1*K11</f>
        <v>16490</v>
      </c>
      <c r="I11" s="46" t="s">
        <v>62</v>
      </c>
      <c r="J11" s="47" t="s">
        <v>63</v>
      </c>
      <c r="K11" s="46">
        <v>16490</v>
      </c>
      <c r="L11" s="46" t="s">
        <v>64</v>
      </c>
      <c r="M11" s="47" t="s">
        <v>65</v>
      </c>
      <c r="N11" s="47" t="s">
        <v>66</v>
      </c>
      <c r="O11" s="48" t="s">
        <v>67</v>
      </c>
      <c r="P11" s="48" t="s">
        <v>68</v>
      </c>
    </row>
    <row r="12" spans="1:16" ht="12.75" customHeight="1" thickBot="1">
      <c r="A12" s="10" t="str">
        <f>P12</f>
        <v>IBVS 5713 </v>
      </c>
      <c r="B12" s="3" t="str">
        <f>IF(H12=INT(H12),"I","II")</f>
        <v>I</v>
      </c>
      <c r="C12" s="10">
        <f>1*G12</f>
        <v>53899.489300000001</v>
      </c>
      <c r="D12" s="12" t="str">
        <f>VLOOKUP(F12,I$1:J$5,2,FALSE)</f>
        <v>vis</v>
      </c>
      <c r="E12" s="45">
        <f>VLOOKUP(C12,'Active 1'!C$21:E$973,3,FALSE)</f>
        <v>1823.9986906129727</v>
      </c>
      <c r="F12" s="3" t="s">
        <v>60</v>
      </c>
      <c r="G12" s="12" t="str">
        <f>MID(I12,3,LEN(I12)-3)</f>
        <v>53899.4893</v>
      </c>
      <c r="H12" s="10">
        <f>1*K12</f>
        <v>19393</v>
      </c>
      <c r="I12" s="46" t="s">
        <v>69</v>
      </c>
      <c r="J12" s="47" t="s">
        <v>70</v>
      </c>
      <c r="K12" s="46">
        <v>19393</v>
      </c>
      <c r="L12" s="46" t="s">
        <v>71</v>
      </c>
      <c r="M12" s="47" t="s">
        <v>65</v>
      </c>
      <c r="N12" s="47" t="s">
        <v>66</v>
      </c>
      <c r="O12" s="48" t="s">
        <v>72</v>
      </c>
      <c r="P12" s="49" t="s">
        <v>73</v>
      </c>
    </row>
    <row r="13" spans="1:16" ht="12.75" customHeight="1" thickBot="1">
      <c r="A13" s="10" t="str">
        <f>P13</f>
        <v>OEJV 0160 </v>
      </c>
      <c r="B13" s="3" t="str">
        <f>IF(H13=INT(H13),"I","II")</f>
        <v>I</v>
      </c>
      <c r="C13" s="10">
        <f>1*G13</f>
        <v>56158.41001</v>
      </c>
      <c r="D13" s="12" t="str">
        <f>VLOOKUP(F13,I$1:J$5,2,FALSE)</f>
        <v>vis</v>
      </c>
      <c r="E13" s="45">
        <f>VLOOKUP(C13,'Active 1'!C$21:E$973,3,FALSE)</f>
        <v>4770.0160934620617</v>
      </c>
      <c r="F13" s="3" t="s">
        <v>60</v>
      </c>
      <c r="G13" s="12" t="str">
        <f>MID(I13,3,LEN(I13)-3)</f>
        <v>56158.41001</v>
      </c>
      <c r="H13" s="10">
        <f>1*K13</f>
        <v>22339</v>
      </c>
      <c r="I13" s="46" t="s">
        <v>74</v>
      </c>
      <c r="J13" s="47" t="s">
        <v>75</v>
      </c>
      <c r="K13" s="46">
        <v>22339</v>
      </c>
      <c r="L13" s="46" t="s">
        <v>76</v>
      </c>
      <c r="M13" s="47" t="s">
        <v>77</v>
      </c>
      <c r="N13" s="47" t="s">
        <v>52</v>
      </c>
      <c r="O13" s="48" t="s">
        <v>78</v>
      </c>
      <c r="P13" s="49" t="s">
        <v>79</v>
      </c>
    </row>
    <row r="14" spans="1:16">
      <c r="B14" s="3"/>
      <c r="E14" s="45"/>
      <c r="F14" s="3"/>
    </row>
    <row r="15" spans="1:16">
      <c r="B15" s="3"/>
      <c r="E15" s="45"/>
      <c r="F15" s="3"/>
    </row>
    <row r="16" spans="1:16">
      <c r="B16" s="3"/>
      <c r="E16" s="45"/>
      <c r="F16" s="3"/>
    </row>
    <row r="17" spans="2:6">
      <c r="B17" s="3"/>
      <c r="E17" s="45"/>
      <c r="F17" s="3"/>
    </row>
    <row r="18" spans="2:6">
      <c r="B18" s="3"/>
      <c r="E18" s="45"/>
      <c r="F18" s="3"/>
    </row>
    <row r="19" spans="2:6">
      <c r="B19" s="3"/>
      <c r="E19" s="45"/>
      <c r="F19" s="3"/>
    </row>
    <row r="20" spans="2:6">
      <c r="B20" s="3"/>
      <c r="E20" s="45"/>
      <c r="F20" s="3"/>
    </row>
    <row r="21" spans="2:6">
      <c r="B21" s="3"/>
      <c r="E21" s="45"/>
      <c r="F21" s="3"/>
    </row>
    <row r="22" spans="2:6">
      <c r="B22" s="3"/>
      <c r="E22" s="45"/>
      <c r="F22" s="3"/>
    </row>
    <row r="23" spans="2:6">
      <c r="B23" s="3"/>
      <c r="E23" s="45"/>
      <c r="F23" s="3"/>
    </row>
    <row r="24" spans="2:6">
      <c r="B24" s="3"/>
      <c r="E24" s="45"/>
      <c r="F24" s="3"/>
    </row>
    <row r="25" spans="2:6">
      <c r="B25" s="3"/>
      <c r="E25" s="45"/>
      <c r="F25" s="3"/>
    </row>
    <row r="26" spans="2:6">
      <c r="B26" s="3"/>
      <c r="E26" s="45"/>
      <c r="F26" s="3"/>
    </row>
    <row r="27" spans="2:6">
      <c r="B27" s="3"/>
      <c r="E27" s="45"/>
      <c r="F27" s="3"/>
    </row>
    <row r="28" spans="2:6">
      <c r="B28" s="3"/>
      <c r="E28" s="45"/>
      <c r="F28" s="3"/>
    </row>
    <row r="29" spans="2:6">
      <c r="B29" s="3"/>
      <c r="E29" s="45"/>
      <c r="F29" s="3"/>
    </row>
    <row r="30" spans="2:6">
      <c r="B30" s="3"/>
      <c r="F30" s="3"/>
    </row>
    <row r="31" spans="2:6">
      <c r="B31" s="3"/>
      <c r="F31" s="3"/>
    </row>
    <row r="32" spans="2: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</sheetData>
  <phoneticPr fontId="8" type="noConversion"/>
  <hyperlinks>
    <hyperlink ref="P12" r:id="rId1" display="http://www.konkoly.hu/cgi-bin/IBVS?5713"/>
    <hyperlink ref="P13" r:id="rId2" display="http://var.astro.cz/oejv/issues/oejv0160.pdf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workbookViewId="0">
      <selection activeCell="E9" sqref="E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>
      <c r="A1" s="1" t="s">
        <v>40</v>
      </c>
      <c r="F1" s="3">
        <v>52500.9</v>
      </c>
      <c r="G1" s="3">
        <v>1.533552</v>
      </c>
      <c r="H1" s="3" t="s">
        <v>41</v>
      </c>
    </row>
    <row r="2" spans="1:8">
      <c r="A2" t="s">
        <v>22</v>
      </c>
      <c r="B2" t="str">
        <f>H1</f>
        <v xml:space="preserve">EA        </v>
      </c>
      <c r="C2" s="3"/>
      <c r="D2" s="3"/>
    </row>
    <row r="3" spans="1:8" ht="13.5" thickBot="1"/>
    <row r="4" spans="1:8" ht="14.25" thickTop="1" thickBot="1">
      <c r="A4" s="5" t="s">
        <v>39</v>
      </c>
      <c r="C4" s="8">
        <f>F1</f>
        <v>52500.9</v>
      </c>
      <c r="D4" s="9">
        <f>G1</f>
        <v>1.533552</v>
      </c>
    </row>
    <row r="5" spans="1:8">
      <c r="C5" s="31" t="s">
        <v>37</v>
      </c>
    </row>
    <row r="6" spans="1:8">
      <c r="A6" s="5" t="s">
        <v>0</v>
      </c>
    </row>
    <row r="7" spans="1:8">
      <c r="A7" t="s">
        <v>1</v>
      </c>
      <c r="C7">
        <f>C4</f>
        <v>52500.9</v>
      </c>
    </row>
    <row r="8" spans="1:8">
      <c r="A8" t="s">
        <v>2</v>
      </c>
      <c r="C8">
        <f>D4</f>
        <v>1.533552</v>
      </c>
      <c r="D8" s="30"/>
    </row>
    <row r="9" spans="1:8">
      <c r="A9" s="11" t="s">
        <v>29</v>
      </c>
      <c r="B9" s="12"/>
      <c r="C9" s="13">
        <v>-9.5</v>
      </c>
      <c r="D9" s="12" t="s">
        <v>30</v>
      </c>
      <c r="E9" s="12"/>
    </row>
    <row r="10" spans="1:8" ht="13.5" thickBot="1">
      <c r="A10" s="12"/>
      <c r="B10" s="12"/>
      <c r="C10" s="4" t="s">
        <v>18</v>
      </c>
      <c r="D10" s="4" t="s">
        <v>19</v>
      </c>
      <c r="E10" s="12"/>
    </row>
    <row r="11" spans="1:8">
      <c r="A11" s="12" t="s">
        <v>14</v>
      </c>
      <c r="B11" s="12"/>
      <c r="C11" s="24">
        <f ca="1">INTERCEPT(INDIRECT($G$11):G975,INDIRECT($F$11):F975)</f>
        <v>-8.7411949934465549E-3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>
      <c r="A12" s="12" t="s">
        <v>15</v>
      </c>
      <c r="B12" s="12"/>
      <c r="C12" s="24">
        <f ca="1">SLOPE(INDIRECT($G$11):G975,INDIRECT($F$11):F975)</f>
        <v>5.7561865559203921E-5</v>
      </c>
      <c r="D12" s="3"/>
      <c r="E12" s="12"/>
    </row>
    <row r="13" spans="1:8">
      <c r="A13" s="12" t="s">
        <v>17</v>
      </c>
      <c r="B13" s="12"/>
      <c r="C13" s="3" t="s">
        <v>12</v>
      </c>
      <c r="D13" s="16" t="s">
        <v>45</v>
      </c>
      <c r="E13" s="13">
        <v>1</v>
      </c>
    </row>
    <row r="14" spans="1:8">
      <c r="A14" s="12"/>
      <c r="B14" s="12"/>
      <c r="C14" s="12"/>
      <c r="D14" s="16" t="s">
        <v>31</v>
      </c>
      <c r="E14" s="17">
        <f ca="1">NOW()+15018.5+$C$9/24</f>
        <v>60359.749784722218</v>
      </c>
    </row>
    <row r="15" spans="1:8">
      <c r="A15" s="14" t="s">
        <v>16</v>
      </c>
      <c r="B15" s="12"/>
      <c r="C15" s="15">
        <f ca="1">(C7+C11)+(C8+C12)*INT(MAX(F21:F3516))</f>
        <v>56891.615434426101</v>
      </c>
      <c r="D15" s="16" t="s">
        <v>46</v>
      </c>
      <c r="E15" s="17">
        <f ca="1">ROUND(2*(E14-$C$7)/$C$8,0)/2+E13</f>
        <v>5125.5</v>
      </c>
    </row>
    <row r="16" spans="1:8">
      <c r="A16" s="18" t="s">
        <v>3</v>
      </c>
      <c r="B16" s="12"/>
      <c r="C16" s="19">
        <f ca="1">+C8+C12</f>
        <v>1.5336095618655592</v>
      </c>
      <c r="D16" s="16" t="s">
        <v>32</v>
      </c>
      <c r="E16" s="26">
        <f ca="1">ROUND(2*(E14-$C$15)/$C$16,0)/2+E13</f>
        <v>2262.5</v>
      </c>
    </row>
    <row r="17" spans="1:17" ht="13.5" thickBot="1">
      <c r="A17" s="16" t="s">
        <v>28</v>
      </c>
      <c r="B17" s="12"/>
      <c r="C17" s="12">
        <f>COUNT(C21:C2174)</f>
        <v>8</v>
      </c>
      <c r="D17" s="16" t="s">
        <v>33</v>
      </c>
      <c r="E17" s="20">
        <f ca="1">+$C$15+$C$16*E16-15018.5-$C$9/24</f>
        <v>45343.302901480267</v>
      </c>
    </row>
    <row r="18" spans="1:17" ht="14.25" thickTop="1" thickBot="1">
      <c r="A18" s="18" t="s">
        <v>4</v>
      </c>
      <c r="B18" s="12"/>
      <c r="C18" s="21">
        <f ca="1">+C15</f>
        <v>56891.615434426101</v>
      </c>
      <c r="D18" s="22">
        <f ca="1">+C16</f>
        <v>1.5336095618655592</v>
      </c>
      <c r="E18" s="23" t="s">
        <v>34</v>
      </c>
    </row>
    <row r="19" spans="1:17" ht="13.5" thickTop="1">
      <c r="A19" s="27" t="s">
        <v>35</v>
      </c>
      <c r="E19" s="28">
        <v>21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44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>
      <c r="A21" s="50" t="s">
        <v>68</v>
      </c>
      <c r="B21" s="52" t="s">
        <v>36</v>
      </c>
      <c r="C21" s="51">
        <v>51673.55</v>
      </c>
      <c r="D21" s="10"/>
      <c r="E21">
        <f t="shared" ref="E21:E26" si="0">+(C21-C$7)/C$8</f>
        <v>-539.49914968647852</v>
      </c>
      <c r="F21">
        <f t="shared" ref="F21:F26" si="1">ROUND(2*E21,0)/2</f>
        <v>-539.5</v>
      </c>
      <c r="G21">
        <f t="shared" ref="G21:G26" si="2">+C21-(C$7+F21*C$8)</f>
        <v>1.3040000048931688E-3</v>
      </c>
      <c r="H21">
        <f>+G21</f>
        <v>1.3040000048931688E-3</v>
      </c>
      <c r="O21">
        <f t="shared" ref="O21:O26" ca="1" si="3">+C$11+C$12*$F21</f>
        <v>-3.979582146263707E-2</v>
      </c>
      <c r="Q21" s="2">
        <f t="shared" ref="Q21:Q26" si="4">+C21-15018.5</f>
        <v>36655.050000000003</v>
      </c>
    </row>
    <row r="22" spans="1:17">
      <c r="A22" s="33" t="s">
        <v>38</v>
      </c>
      <c r="B22" s="32" t="s">
        <v>36</v>
      </c>
      <c r="C22" s="33">
        <v>52500.9</v>
      </c>
      <c r="D22" s="29"/>
      <c r="E22">
        <f t="shared" si="0"/>
        <v>0</v>
      </c>
      <c r="F22">
        <f t="shared" si="1"/>
        <v>0</v>
      </c>
      <c r="G22">
        <f t="shared" si="2"/>
        <v>0</v>
      </c>
      <c r="I22">
        <f>+G22</f>
        <v>0</v>
      </c>
      <c r="O22">
        <f t="shared" ca="1" si="3"/>
        <v>-8.7411949934465549E-3</v>
      </c>
      <c r="Q22" s="2">
        <f t="shared" si="4"/>
        <v>37482.400000000001</v>
      </c>
    </row>
    <row r="23" spans="1:17">
      <c r="A23" s="33" t="s">
        <v>42</v>
      </c>
      <c r="B23" s="32" t="s">
        <v>36</v>
      </c>
      <c r="C23" s="33">
        <v>53899.489300000001</v>
      </c>
      <c r="D23" s="33">
        <v>5.9999999999999995E-4</v>
      </c>
      <c r="E23">
        <f t="shared" si="0"/>
        <v>911.99339833275928</v>
      </c>
      <c r="F23">
        <f t="shared" si="1"/>
        <v>912</v>
      </c>
      <c r="G23">
        <f t="shared" si="2"/>
        <v>-1.0124000000359956E-2</v>
      </c>
      <c r="J23">
        <f t="shared" ref="J23:J28" si="5">+G23</f>
        <v>-1.0124000000359956E-2</v>
      </c>
      <c r="O23">
        <f t="shared" ca="1" si="3"/>
        <v>4.3755226396547421E-2</v>
      </c>
      <c r="Q23" s="2">
        <f t="shared" si="4"/>
        <v>38880.989300000001</v>
      </c>
    </row>
    <row r="24" spans="1:17">
      <c r="A24" s="53" t="s">
        <v>43</v>
      </c>
      <c r="B24" s="35" t="s">
        <v>36</v>
      </c>
      <c r="C24" s="34">
        <v>56158.41001</v>
      </c>
      <c r="D24" s="34">
        <v>1E-4</v>
      </c>
      <c r="E24">
        <f t="shared" si="0"/>
        <v>2384.9924945486023</v>
      </c>
      <c r="F24">
        <f t="shared" si="1"/>
        <v>2385</v>
      </c>
      <c r="G24">
        <f t="shared" si="2"/>
        <v>-1.1510000003909227E-2</v>
      </c>
      <c r="J24">
        <f t="shared" si="5"/>
        <v>-1.1510000003909227E-2</v>
      </c>
      <c r="O24">
        <f t="shared" ca="1" si="3"/>
        <v>0.12854385436525478</v>
      </c>
      <c r="Q24" s="2">
        <f t="shared" si="4"/>
        <v>41139.91001</v>
      </c>
    </row>
    <row r="25" spans="1:17">
      <c r="A25" s="34" t="s">
        <v>47</v>
      </c>
      <c r="B25" s="35" t="s">
        <v>48</v>
      </c>
      <c r="C25" s="36">
        <v>56856.44341</v>
      </c>
      <c r="D25" s="34">
        <v>3.0999999999999999E-3</v>
      </c>
      <c r="E25">
        <f t="shared" si="0"/>
        <v>2840.1667566538326</v>
      </c>
      <c r="F25">
        <f t="shared" si="1"/>
        <v>2840</v>
      </c>
      <c r="G25">
        <f t="shared" si="2"/>
        <v>0.2557299999971292</v>
      </c>
      <c r="J25">
        <f t="shared" si="5"/>
        <v>0.2557299999971292</v>
      </c>
      <c r="O25">
        <f t="shared" ca="1" si="3"/>
        <v>0.15473450319469259</v>
      </c>
      <c r="Q25" s="2">
        <f t="shared" si="4"/>
        <v>41837.94341</v>
      </c>
    </row>
    <row r="26" spans="1:17">
      <c r="A26" s="34" t="s">
        <v>47</v>
      </c>
      <c r="B26" s="35" t="s">
        <v>48</v>
      </c>
      <c r="C26" s="36">
        <v>56856.44685</v>
      </c>
      <c r="D26" s="34">
        <v>1.6999999999999999E-3</v>
      </c>
      <c r="E26">
        <f t="shared" si="0"/>
        <v>2840.1689998121997</v>
      </c>
      <c r="F26">
        <f t="shared" si="1"/>
        <v>2840</v>
      </c>
      <c r="G26">
        <f t="shared" si="2"/>
        <v>0.25916999999753898</v>
      </c>
      <c r="J26">
        <f t="shared" si="5"/>
        <v>0.25916999999753898</v>
      </c>
      <c r="O26">
        <f t="shared" ca="1" si="3"/>
        <v>0.15473450319469259</v>
      </c>
      <c r="Q26" s="2">
        <f t="shared" si="4"/>
        <v>41837.94685</v>
      </c>
    </row>
    <row r="27" spans="1:17">
      <c r="A27" s="34" t="s">
        <v>47</v>
      </c>
      <c r="B27" s="35" t="s">
        <v>48</v>
      </c>
      <c r="C27" s="36">
        <v>56856.449849999997</v>
      </c>
      <c r="D27" s="34">
        <v>1.8E-3</v>
      </c>
      <c r="E27">
        <f>+(C27-C$7)/C$8</f>
        <v>2840.1709560549598</v>
      </c>
      <c r="F27">
        <f>ROUND(2*E27,0)/2</f>
        <v>2840</v>
      </c>
      <c r="G27">
        <f>+C27-(C$7+F27*C$8)</f>
        <v>0.26216999999451218</v>
      </c>
      <c r="J27">
        <f t="shared" si="5"/>
        <v>0.26216999999451218</v>
      </c>
      <c r="O27">
        <f ca="1">+C$11+C$12*$F27</f>
        <v>0.15473450319469259</v>
      </c>
      <c r="Q27" s="2">
        <f>+C27-15018.5</f>
        <v>41837.949849999997</v>
      </c>
    </row>
    <row r="28" spans="1:17">
      <c r="A28" s="54" t="s">
        <v>81</v>
      </c>
      <c r="B28" s="55" t="s">
        <v>36</v>
      </c>
      <c r="C28" s="56">
        <v>56891.446660000001</v>
      </c>
      <c r="D28" s="56">
        <v>8.0000000000000004E-4</v>
      </c>
      <c r="E28">
        <f>+(C28-C$7)/C$8</f>
        <v>2862.9917081390131</v>
      </c>
      <c r="F28">
        <f>ROUND(2*E28,0)/2</f>
        <v>2863</v>
      </c>
      <c r="G28">
        <f>+C28-(C$7+F28*C$8)</f>
        <v>-1.2715999997453764E-2</v>
      </c>
      <c r="J28">
        <f t="shared" si="5"/>
        <v>-1.2715999997453764E-2</v>
      </c>
      <c r="O28">
        <f ca="1">+C$11+C$12*$F28</f>
        <v>0.15605842610255427</v>
      </c>
      <c r="Q28" s="2">
        <f>+C28-15018.5</f>
        <v>41872.946660000001</v>
      </c>
    </row>
    <row r="29" spans="1:17">
      <c r="C29" s="10"/>
      <c r="D29" s="10"/>
    </row>
    <row r="30" spans="1:17">
      <c r="C30" s="10"/>
      <c r="D30" s="10"/>
    </row>
    <row r="31" spans="1:17">
      <c r="C31" s="10"/>
      <c r="D31" s="10"/>
    </row>
    <row r="32" spans="1:17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BAV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2024-02-19T04:59:41Z</dcterms:modified>
</cp:coreProperties>
</file>