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C86435-19F8-4081-B493-28CA2FB06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F14" i="1"/>
  <c r="E22" i="1"/>
  <c r="F22" i="1"/>
  <c r="G22" i="1"/>
  <c r="K22" i="1"/>
  <c r="E23" i="1"/>
  <c r="F23" i="1"/>
  <c r="G23" i="1"/>
  <c r="K23" i="1"/>
  <c r="Q22" i="1"/>
  <c r="Q23" i="1"/>
  <c r="C9" i="1"/>
  <c r="E21" i="1"/>
  <c r="F21" i="1"/>
  <c r="G21" i="1"/>
  <c r="I21" i="1"/>
  <c r="D9" i="1"/>
  <c r="C17" i="1"/>
  <c r="Q21" i="1"/>
  <c r="C11" i="1"/>
  <c r="C12" i="1"/>
  <c r="O24" i="1" l="1"/>
  <c r="F15" i="1"/>
  <c r="C16" i="1"/>
  <c r="D18" i="1" s="1"/>
  <c r="O22" i="1"/>
  <c r="O23" i="1"/>
  <c r="O21" i="1"/>
  <c r="C15" i="1"/>
  <c r="F16" i="1" s="1"/>
  <c r="F18" i="1" l="1"/>
  <c r="F17" i="1"/>
  <c r="C18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<sst xmlns="http://schemas.openxmlformats.org/spreadsheetml/2006/main" count="63" uniqueCount="55">
  <si>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</si>
  <si>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</si>
  <si>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</si>
  <si>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</si>
  <si>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</si>
  <si>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</si>
  <si>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</si>
  <si>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</si>
  <si>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</si>
  <si>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</si>
  <si>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</si>
  <si>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</si>
  <si>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</si>
  <si>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</si>
  <si>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</si>
  <si>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</si>
  <si>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</si>
  <si>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</si>
  <si>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</si>
  <si>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</si>
  <si>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</si>
  <si>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</si>
  <si>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</si>
  <si>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</si>
  <si>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</si>
  <si>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</si>
  <si>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</si>
  <si>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</si>
  <si>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</si>
  <si>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</si>
  <si>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</si>
  <si>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</si>
  <si>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</si>
  <si>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</si>
  <si>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</si>
  <si>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</si>
  <si>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</si>
  <si>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</si>
  <si>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</si>
  <si>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</si>
  <si>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V0666 Lyr  </t>
  </si>
  <si>
    <t>2017K</t>
  </si>
  <si>
    <t>G2637-0433</t>
  </si>
  <si>
    <t xml:space="preserve">EW        </t>
  </si>
  <si>
    <t>pr_6</t>
  </si>
  <si>
    <t xml:space="preserve">         </t>
  </si>
  <si>
    <t>GCVS</t>
  </si>
  <si>
    <t>V0666 Lyr   / GSC 2637-0433</t>
  </si>
  <si>
    <t>I</t>
  </si>
  <si>
    <t>OEJV 0179</t>
  </si>
  <si>
    <t>BAV 91 Feb 2024</t>
  </si>
  <si>
    <t>Next ToM-P</t>
  </si>
  <si>
    <t>Next ToM-S</t>
  </si>
  <si>
    <t xml:space="preserve">12.25-12.70 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</si>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</sst>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16" fillId="0" borderId="10" xfId="0" applyFont="1" applyBorder="1" applyAlignment="1">
      <alignment vertical="center"/>
    </xf>
    <xf numFmtId="22" fontId="8" fillId="0" borderId="0" xfId="0" applyNumberFormat="1" applyFont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V0666 Lyr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30-4BB6-AFF9-8FA5CB2B2D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30-4BB6-AFF9-8FA5CB2B2D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30-4BB6-AFF9-8FA5CB2B2D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-6.2230000003182795E-2</c:v>
                </c:pt>
                <c:pt idx="2">
                  <c:v>-6.212999999843305E-2</c:v>
                </c:pt>
                <c:pt idx="3">
                  <c:v>4.4750000000931323E-2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30-4BB6-AFF9-8FA5CB2B2D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30-4BB6-AFF9-8FA5CB2B2D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30-4BB6-AFF9-8FA5CB2B2D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30-4BB6-AFF9-8FA5CB2B2D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-2.5832299923199964E-2</c:v>
                </c:pt>
                <c:pt idx="1">
                  <c:v>-1.8907978795674567E-2</c:v>
                </c:pt>
                <c:pt idx="2">
                  <c:v>-1.8907978795674567E-2</c:v>
                </c:pt>
                <c:pt idx="3">
                  <c:v>-1.5961742486135425E-2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30-4BB6-AFF9-8FA5CB2B2D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12220</c:v>
                </c:pt>
                <c:pt idx="2">
                  <c:v>12220</c:v>
                </c:pt>
                <c:pt idx="3">
                  <c:v>17419.5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30-4BB6-AFF9-8FA5CB2B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148776"/>
        <c:axId val="1"/>
      </c:scatterChart>
      <c:valAx>
        <c:axId val="83414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14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5C94FE-2F24-0608-F9C5-8E8A94A5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4" t="s">
        <v>40</v>
      </c>
      <c r="G1" s="3" t="s">
        <v>41</v>
      </c>
      <c r="H1" s="5"/>
      <c r="I1" s="6" t="s">
        <v>42</v>
      </c>
      <c r="J1" s="7" t="s">
        <v>40</v>
      </c>
      <c r="K1" s="8">
        <v>18.392299999999999</v>
      </c>
      <c r="L1" s="8">
        <v>31.000240000000002</v>
      </c>
      <c r="M1" s="9">
        <v>51393.764000000003</v>
      </c>
      <c r="N1" s="9">
        <v>0.50349999999999995</v>
      </c>
      <c r="O1" s="8" t="s">
        <v>43</v>
      </c>
      <c r="P1" s="8">
        <v>12.25</v>
      </c>
      <c r="Q1" s="8">
        <v>12.7</v>
      </c>
      <c r="R1" s="10" t="s">
        <v>44</v>
      </c>
      <c r="S1" s="11" t="s">
        <v>45</v>
      </c>
    </row>
    <row r="2" spans="1:19" s="12" customFormat="1" ht="12.95" customHeight="1" x14ac:dyDescent="0.2">
      <c r="A2" s="12" t="s">
        <v>23</v>
      </c>
      <c r="B2" s="12" t="s">
        <v>43</v>
      </c>
      <c r="C2" s="13"/>
      <c r="D2" s="14"/>
    </row>
    <row r="3" spans="1:19" s="12" customFormat="1" ht="12.95" customHeight="1" thickBot="1" x14ac:dyDescent="0.25"/>
    <row r="4" spans="1:19" s="12" customFormat="1" ht="12.95" customHeight="1" thickTop="1" thickBot="1" x14ac:dyDescent="0.25">
      <c r="A4" s="15" t="s">
        <v>0</v>
      </c>
      <c r="C4" s="16">
        <v>51393.764000000003</v>
      </c>
      <c r="D4" s="17">
        <v>0.50349999999999995</v>
      </c>
    </row>
    <row r="5" spans="1:19" s="12" customFormat="1" ht="12.95" customHeight="1" thickTop="1" x14ac:dyDescent="0.2">
      <c r="A5" s="18" t="s">
        <v>28</v>
      </c>
      <c r="C5" s="19">
        <v>-9.5</v>
      </c>
      <c r="D5" s="12" t="s">
        <v>29</v>
      </c>
    </row>
    <row r="6" spans="1:19" s="12" customFormat="1" ht="12.95" customHeight="1" x14ac:dyDescent="0.2">
      <c r="A6" s="15" t="s">
        <v>1</v>
      </c>
    </row>
    <row r="7" spans="1:19" s="12" customFormat="1" ht="12.95" customHeight="1" x14ac:dyDescent="0.2">
      <c r="A7" s="12" t="s">
        <v>2</v>
      </c>
      <c r="C7" s="39">
        <v>51393.764000000003</v>
      </c>
      <c r="D7" s="21" t="s">
        <v>46</v>
      </c>
    </row>
    <row r="8" spans="1:19" s="12" customFormat="1" ht="12.95" customHeight="1" x14ac:dyDescent="0.2">
      <c r="A8" s="12" t="s">
        <v>3</v>
      </c>
      <c r="C8" s="39">
        <v>0.50349999999999995</v>
      </c>
      <c r="D8" s="21" t="s">
        <v>46</v>
      </c>
    </row>
    <row r="9" spans="1:19" s="12" customFormat="1" ht="12.95" customHeight="1" x14ac:dyDescent="0.2">
      <c r="A9" s="22" t="s">
        <v>31</v>
      </c>
      <c r="B9" s="23">
        <v>21</v>
      </c>
      <c r="C9" s="24" t="str">
        <f>"F"&amp;B9</f>
        <v>F21</v>
      </c>
      <c r="D9" s="25" t="str">
        <f>"G"&amp;B9</f>
        <v>G21</v>
      </c>
    </row>
    <row r="10" spans="1:19" s="12" customFormat="1" ht="12.95" customHeight="1" thickBot="1" x14ac:dyDescent="0.25">
      <c r="C10" s="26" t="s">
        <v>19</v>
      </c>
      <c r="D10" s="26" t="s">
        <v>20</v>
      </c>
    </row>
    <row r="11" spans="1:19" s="12" customFormat="1" ht="12.95" customHeight="1" x14ac:dyDescent="0.2">
      <c r="A11" s="12" t="s">
        <v>15</v>
      </c>
      <c r="C11" s="25">
        <f ca="1">INTERCEPT(INDIRECT($D$9):G992,INDIRECT($C$9):F992)</f>
        <v>-2.5832299923199964E-2</v>
      </c>
      <c r="D11" s="14"/>
    </row>
    <row r="12" spans="1:19" s="12" customFormat="1" ht="12.95" customHeight="1" x14ac:dyDescent="0.2">
      <c r="A12" s="12" t="s">
        <v>16</v>
      </c>
      <c r="C12" s="25">
        <f ca="1">SLOPE(INDIRECT($D$9):G992,INDIRECT($C$9):F992)</f>
        <v>5.666383901411945E-7</v>
      </c>
      <c r="D12" s="14"/>
      <c r="E12" s="46" t="s">
        <v>54</v>
      </c>
      <c r="F12" s="47" t="s">
        <v>53</v>
      </c>
    </row>
    <row r="13" spans="1:19" s="12" customFormat="1" ht="12.95" customHeight="1" x14ac:dyDescent="0.2">
      <c r="A13" s="12" t="s">
        <v>18</v>
      </c>
      <c r="C13" s="14" t="s">
        <v>13</v>
      </c>
      <c r="E13" s="44" t="s">
        <v>33</v>
      </c>
      <c r="F13" s="48">
        <v>1</v>
      </c>
    </row>
    <row r="14" spans="1:19" s="12" customFormat="1" ht="12.95" customHeight="1" x14ac:dyDescent="0.2">
      <c r="E14" s="44" t="s">
        <v>30</v>
      </c>
      <c r="F14" s="49">
        <f ca="1">NOW()+15018.5+$C$5/24</f>
        <v>60547.769611226846</v>
      </c>
    </row>
    <row r="15" spans="1:19" s="12" customFormat="1" ht="12.95" customHeight="1" x14ac:dyDescent="0.2">
      <c r="A15" s="27" t="s">
        <v>17</v>
      </c>
      <c r="C15" s="28">
        <f ca="1">(C7+C11)+(C8+C12)*INT(MAX(F21:F3533))</f>
        <v>60164.2145379742</v>
      </c>
      <c r="E15" s="44" t="s">
        <v>34</v>
      </c>
      <c r="F15" s="49">
        <f ca="1">ROUND(2*($F$14-$C$7)/$C$8,0)/2+$F$13</f>
        <v>18181.5</v>
      </c>
    </row>
    <row r="16" spans="1:19" s="12" customFormat="1" ht="12.95" customHeight="1" x14ac:dyDescent="0.2">
      <c r="A16" s="15" t="s">
        <v>4</v>
      </c>
      <c r="C16" s="30">
        <f ca="1">+C8+C12</f>
        <v>0.50350056663839005</v>
      </c>
      <c r="E16" s="44" t="s">
        <v>35</v>
      </c>
      <c r="F16" s="49">
        <f ca="1">ROUND(2*($F$14-$C$15)/$C$16,0)/2+$F$13</f>
        <v>763</v>
      </c>
    </row>
    <row r="17" spans="1:21" s="12" customFormat="1" ht="12.95" customHeight="1" thickBot="1" x14ac:dyDescent="0.25">
      <c r="A17" s="29" t="s">
        <v>27</v>
      </c>
      <c r="C17" s="12">
        <f>COUNT(C21:C2191)</f>
        <v>4</v>
      </c>
      <c r="E17" s="44" t="s">
        <v>51</v>
      </c>
      <c r="F17" s="50">
        <f ca="1">+$C$15+$C$16*$F$16-15018.5-$C$5/24</f>
        <v>45530.281303652628</v>
      </c>
    </row>
    <row r="18" spans="1:21" s="12" customFormat="1" ht="12.95" customHeight="1" thickTop="1" thickBot="1" x14ac:dyDescent="0.25">
      <c r="A18" s="15" t="s">
        <v>5</v>
      </c>
      <c r="C18" s="31">
        <f ca="1">+C15</f>
        <v>60164.2145379742</v>
      </c>
      <c r="D18" s="42">
        <f ca="1">+C16</f>
        <v>0.50350056663839005</v>
      </c>
      <c r="E18" s="45" t="s">
        <v>52</v>
      </c>
      <c r="F18" s="51">
        <f ca="1">+($C$15+$C$16*$F$16)-($C$16/2)-15018.5-$C$5/24</f>
        <v>45530.029553369306</v>
      </c>
    </row>
    <row r="19" spans="1:21" s="12" customFormat="1" ht="12.95" customHeight="1" thickTop="1" x14ac:dyDescent="0.2">
      <c r="E19" s="13"/>
      <c r="F19" s="43"/>
    </row>
    <row r="20" spans="1:21" s="12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2" t="s">
        <v>36</v>
      </c>
      <c r="I20" s="32" t="s">
        <v>37</v>
      </c>
      <c r="J20" s="32" t="s">
        <v>38</v>
      </c>
      <c r="K20" s="32" t="s">
        <v>39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6" t="s">
        <v>14</v>
      </c>
      <c r="U20" s="34" t="s">
        <v>32</v>
      </c>
    </row>
    <row r="21" spans="1:21" s="12" customFormat="1" ht="12.95" customHeight="1" x14ac:dyDescent="0.2">
      <c r="A21" s="12" t="s">
        <v>46</v>
      </c>
      <c r="C21" s="20">
        <v>51393.764000000003</v>
      </c>
      <c r="D21" s="20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-2.5832299923199964E-2</v>
      </c>
      <c r="Q21" s="35">
        <f>+C21-15018.5</f>
        <v>36375.264000000003</v>
      </c>
    </row>
    <row r="22" spans="1:21" s="12" customFormat="1" ht="12.95" customHeight="1" x14ac:dyDescent="0.2">
      <c r="A22" s="36" t="s">
        <v>49</v>
      </c>
      <c r="B22" s="37" t="s">
        <v>48</v>
      </c>
      <c r="C22" s="38">
        <v>57546.471769999996</v>
      </c>
      <c r="D22" s="38">
        <v>2.0000000000000001E-4</v>
      </c>
      <c r="E22" s="12">
        <f>+(C22-C$7)/C$8</f>
        <v>12219.876405163841</v>
      </c>
      <c r="F22" s="12">
        <f>ROUND(2*E22,0)/2</f>
        <v>12220</v>
      </c>
      <c r="G22" s="12">
        <f>+C22-(C$7+F22*C$8)</f>
        <v>-6.2230000003182795E-2</v>
      </c>
      <c r="K22" s="12">
        <f>+G22</f>
        <v>-6.2230000003182795E-2</v>
      </c>
      <c r="O22" s="12">
        <f ca="1">+C$11+C$12*$F22</f>
        <v>-1.8907978795674567E-2</v>
      </c>
      <c r="Q22" s="35">
        <f>+C22-15018.5</f>
        <v>42527.971769999996</v>
      </c>
    </row>
    <row r="23" spans="1:21" s="12" customFormat="1" ht="12.95" customHeight="1" x14ac:dyDescent="0.2">
      <c r="A23" s="36" t="s">
        <v>49</v>
      </c>
      <c r="B23" s="37" t="s">
        <v>48</v>
      </c>
      <c r="C23" s="38">
        <v>57546.471870000001</v>
      </c>
      <c r="D23" s="38">
        <v>1E-4</v>
      </c>
      <c r="E23" s="12">
        <f>+(C23-C$7)/C$8</f>
        <v>12219.876603773582</v>
      </c>
      <c r="F23" s="12">
        <f>ROUND(2*E23,0)/2</f>
        <v>12220</v>
      </c>
      <c r="G23" s="12">
        <f>+C23-(C$7+F23*C$8)</f>
        <v>-6.212999999843305E-2</v>
      </c>
      <c r="K23" s="12">
        <f>+G23</f>
        <v>-6.212999999843305E-2</v>
      </c>
      <c r="O23" s="12">
        <f ca="1">+C$11+C$12*$F23</f>
        <v>-1.8907978795674567E-2</v>
      </c>
      <c r="Q23" s="35">
        <f>+C23-15018.5</f>
        <v>42527.971870000001</v>
      </c>
    </row>
    <row r="24" spans="1:21" s="12" customFormat="1" ht="12.95" customHeight="1" x14ac:dyDescent="0.2">
      <c r="A24" s="40" t="s">
        <v>50</v>
      </c>
      <c r="B24" s="41" t="s">
        <v>48</v>
      </c>
      <c r="C24" s="40">
        <v>60164.527000000002</v>
      </c>
      <c r="D24" s="40">
        <v>4.1999999999999997E-3</v>
      </c>
      <c r="E24" s="12">
        <f>+(C24-C$7)/C$8</f>
        <v>17419.588877855014</v>
      </c>
      <c r="F24" s="12">
        <f>ROUND(2*E24,0)/2</f>
        <v>17419.5</v>
      </c>
      <c r="G24" s="12">
        <f>+C24-(C$7+F24*C$8)</f>
        <v>4.4750000000931323E-2</v>
      </c>
      <c r="K24" s="12">
        <f>+G24</f>
        <v>4.4750000000931323E-2</v>
      </c>
      <c r="O24" s="12">
        <f ca="1">+C$11+C$12*$F24</f>
        <v>-1.5961742486135425E-2</v>
      </c>
      <c r="Q24" s="35">
        <f>+C24-15018.5</f>
        <v>45146.027000000002</v>
      </c>
    </row>
    <row r="25" spans="1:21" s="12" customFormat="1" ht="12.95" customHeight="1" x14ac:dyDescent="0.2">
      <c r="C25" s="20"/>
      <c r="D25" s="20"/>
      <c r="Q25" s="35"/>
    </row>
    <row r="26" spans="1:21" s="12" customFormat="1" ht="12.95" customHeight="1" x14ac:dyDescent="0.2">
      <c r="C26" s="20"/>
      <c r="D26" s="20"/>
      <c r="Q26" s="35"/>
    </row>
    <row r="27" spans="1:21" s="12" customFormat="1" ht="12.95" customHeight="1" x14ac:dyDescent="0.2">
      <c r="C27" s="20"/>
      <c r="D27" s="20"/>
      <c r="Q27" s="35"/>
    </row>
    <row r="28" spans="1:21" s="12" customFormat="1" ht="12.95" customHeight="1" x14ac:dyDescent="0.2">
      <c r="C28" s="20"/>
      <c r="D28" s="20"/>
      <c r="Q28" s="35"/>
    </row>
    <row r="29" spans="1:21" s="12" customFormat="1" ht="12.95" customHeight="1" x14ac:dyDescent="0.2">
      <c r="C29" s="20"/>
      <c r="D29" s="20"/>
      <c r="Q29" s="35"/>
    </row>
    <row r="30" spans="1:21" s="12" customFormat="1" ht="12.95" customHeight="1" x14ac:dyDescent="0.2">
      <c r="C30" s="20"/>
      <c r="D30" s="20"/>
      <c r="Q30" s="35"/>
    </row>
    <row r="31" spans="1:21" s="12" customFormat="1" ht="12.95" customHeight="1" x14ac:dyDescent="0.2">
      <c r="C31" s="20"/>
      <c r="D31" s="20"/>
      <c r="Q31" s="35"/>
    </row>
    <row r="32" spans="1:21" s="12" customFormat="1" ht="12.95" customHeight="1" x14ac:dyDescent="0.2">
      <c r="C32" s="20"/>
      <c r="D32" s="20"/>
      <c r="Q32" s="35"/>
    </row>
    <row r="33" spans="3:17" s="12" customFormat="1" ht="12.95" customHeight="1" x14ac:dyDescent="0.2">
      <c r="C33" s="20"/>
      <c r="D33" s="20"/>
      <c r="Q33" s="35"/>
    </row>
    <row r="34" spans="3:17" s="12" customFormat="1" ht="12.95" customHeight="1" x14ac:dyDescent="0.2">
      <c r="C34" s="20"/>
      <c r="D34" s="20"/>
    </row>
    <row r="35" spans="3:17" s="12" customFormat="1" ht="12.95" customHeight="1" x14ac:dyDescent="0.2">
      <c r="C35" s="20"/>
      <c r="D35" s="20"/>
    </row>
    <row r="36" spans="3:17" s="12" customFormat="1" ht="12.95" customHeight="1" x14ac:dyDescent="0.2">
      <c r="C36" s="20"/>
      <c r="D36" s="20"/>
    </row>
    <row r="37" spans="3:17" s="12" customFormat="1" ht="12.95" customHeight="1" x14ac:dyDescent="0.2">
      <c r="C37" s="20"/>
      <c r="D37" s="20"/>
    </row>
    <row r="38" spans="3:17" s="12" customFormat="1" ht="12.95" customHeight="1" x14ac:dyDescent="0.2">
      <c r="C38" s="20"/>
      <c r="D38" s="20"/>
    </row>
    <row r="39" spans="3:17" s="12" customFormat="1" ht="12.95" customHeight="1" x14ac:dyDescent="0.2">
      <c r="C39" s="20"/>
      <c r="D39" s="20"/>
    </row>
    <row r="40" spans="3:17" s="12" customFormat="1" ht="12.95" customHeight="1" x14ac:dyDescent="0.2">
      <c r="C40" s="20"/>
      <c r="D40" s="20"/>
    </row>
    <row r="41" spans="3:17" s="12" customFormat="1" ht="12.95" customHeight="1" x14ac:dyDescent="0.2">
      <c r="C41" s="20"/>
      <c r="D41" s="20"/>
    </row>
    <row r="42" spans="3:17" s="12" customFormat="1" ht="12.95" customHeight="1" x14ac:dyDescent="0.2">
      <c r="C42" s="20"/>
      <c r="D42" s="20"/>
    </row>
    <row r="43" spans="3:17" s="12" customFormat="1" ht="12.95" customHeight="1" x14ac:dyDescent="0.2">
      <c r="C43" s="20"/>
      <c r="D43" s="20"/>
    </row>
    <row r="44" spans="3:17" s="12" customFormat="1" ht="12.95" customHeight="1" x14ac:dyDescent="0.2">
      <c r="C44" s="20"/>
      <c r="D44" s="20"/>
    </row>
    <row r="45" spans="3:17" s="12" customFormat="1" ht="12.95" customHeight="1" x14ac:dyDescent="0.2">
      <c r="C45" s="20"/>
      <c r="D45" s="20"/>
    </row>
    <row r="46" spans="3:17" s="12" customFormat="1" ht="12.95" customHeight="1" x14ac:dyDescent="0.2">
      <c r="C46" s="20"/>
      <c r="D46" s="20"/>
    </row>
    <row r="47" spans="3:17" s="12" customFormat="1" ht="12.95" customHeight="1" x14ac:dyDescent="0.2">
      <c r="C47" s="20"/>
      <c r="D47" s="20"/>
    </row>
    <row r="48" spans="3:17" s="12" customFormat="1" ht="12.95" customHeight="1" x14ac:dyDescent="0.2">
      <c r="C48" s="20"/>
      <c r="D48" s="20"/>
    </row>
    <row r="49" spans="3:4" s="12" customFormat="1" ht="12.95" customHeight="1" x14ac:dyDescent="0.2">
      <c r="C49" s="20"/>
      <c r="D49" s="20"/>
    </row>
    <row r="50" spans="3:4" s="12" customFormat="1" ht="12.95" customHeight="1" x14ac:dyDescent="0.2">
      <c r="C50" s="20"/>
      <c r="D50" s="20"/>
    </row>
    <row r="51" spans="3:4" s="12" customFormat="1" ht="12.95" customHeight="1" x14ac:dyDescent="0.2">
      <c r="C51" s="20"/>
      <c r="D51" s="20"/>
    </row>
    <row r="52" spans="3:4" s="12" customFormat="1" ht="12.95" customHeight="1" x14ac:dyDescent="0.2">
      <c r="C52" s="20"/>
      <c r="D52" s="20"/>
    </row>
    <row r="53" spans="3:4" s="12" customFormat="1" ht="12.95" customHeight="1" x14ac:dyDescent="0.2">
      <c r="C53" s="20"/>
      <c r="D53" s="20"/>
    </row>
    <row r="54" spans="3:4" s="12" customFormat="1" ht="12.95" customHeight="1" x14ac:dyDescent="0.2">
      <c r="C54" s="20"/>
      <c r="D54" s="20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2024-08-25T06:28:14Z</dcterms:modified>
</cp:coreProperties>
</file>