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8312DE4-9182-4746-810B-82AA3DD870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A21" i="1"/>
  <c r="E31" i="1"/>
  <c r="F31" i="1"/>
  <c r="G31" i="1"/>
  <c r="I31" i="1"/>
  <c r="Q31" i="1"/>
  <c r="C7" i="1"/>
  <c r="E30" i="1"/>
  <c r="F30" i="1"/>
  <c r="G30" i="1"/>
  <c r="I30" i="1"/>
  <c r="C8" i="1"/>
  <c r="E21" i="1"/>
  <c r="F21" i="1" s="1"/>
  <c r="G21" i="1" s="1"/>
  <c r="H21" i="1" s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G11" i="1"/>
  <c r="F11" i="1"/>
  <c r="Q30" i="1"/>
  <c r="G11" i="2"/>
  <c r="C11" i="2"/>
  <c r="E11" i="2"/>
  <c r="G19" i="2"/>
  <c r="C19" i="2"/>
  <c r="E19" i="2"/>
  <c r="G18" i="2"/>
  <c r="C18" i="2"/>
  <c r="E18" i="2"/>
  <c r="G17" i="2"/>
  <c r="C17" i="2"/>
  <c r="E17" i="2"/>
  <c r="G14" i="2"/>
  <c r="C14" i="2"/>
  <c r="E14" i="2"/>
  <c r="G13" i="2"/>
  <c r="C13" i="2"/>
  <c r="E13" i="2"/>
  <c r="G12" i="2"/>
  <c r="C12" i="2"/>
  <c r="E12" i="2"/>
  <c r="G16" i="2"/>
  <c r="C16" i="2"/>
  <c r="E16" i="2"/>
  <c r="G15" i="2"/>
  <c r="C15" i="2"/>
  <c r="E15" i="2"/>
  <c r="H11" i="2"/>
  <c r="D11" i="2"/>
  <c r="B11" i="2"/>
  <c r="A11" i="2"/>
  <c r="H19" i="2"/>
  <c r="B19" i="2"/>
  <c r="D19" i="2"/>
  <c r="A19" i="2"/>
  <c r="H18" i="2"/>
  <c r="D18" i="2"/>
  <c r="B18" i="2"/>
  <c r="A18" i="2"/>
  <c r="H17" i="2"/>
  <c r="B17" i="2"/>
  <c r="D17" i="2"/>
  <c r="A17" i="2"/>
  <c r="H14" i="2"/>
  <c r="D14" i="2"/>
  <c r="B14" i="2"/>
  <c r="A14" i="2"/>
  <c r="H13" i="2"/>
  <c r="B13" i="2"/>
  <c r="D13" i="2"/>
  <c r="A13" i="2"/>
  <c r="H12" i="2"/>
  <c r="D12" i="2"/>
  <c r="B12" i="2"/>
  <c r="A12" i="2"/>
  <c r="H16" i="2"/>
  <c r="B16" i="2"/>
  <c r="D16" i="2"/>
  <c r="A16" i="2"/>
  <c r="H15" i="2"/>
  <c r="D15" i="2"/>
  <c r="B15" i="2"/>
  <c r="A15" i="2"/>
  <c r="Q26" i="1"/>
  <c r="Q27" i="1"/>
  <c r="Q28" i="1"/>
  <c r="Q29" i="1"/>
  <c r="E14" i="1"/>
  <c r="E15" i="1" s="1"/>
  <c r="Q25" i="1"/>
  <c r="Q24" i="1"/>
  <c r="Q22" i="1"/>
  <c r="Q23" i="1"/>
  <c r="C17" i="1"/>
  <c r="Q21" i="1"/>
  <c r="C11" i="1"/>
  <c r="C12" i="1"/>
  <c r="C16" i="1" l="1"/>
  <c r="D18" i="1" s="1"/>
  <c r="O30" i="1"/>
  <c r="O29" i="1"/>
  <c r="C15" i="1"/>
  <c r="O31" i="1"/>
  <c r="O25" i="1"/>
  <c r="O22" i="1"/>
  <c r="O24" i="1"/>
  <c r="O21" i="1"/>
  <c r="O26" i="1"/>
  <c r="O27" i="1"/>
  <c r="O28" i="1"/>
  <c r="O23" i="1"/>
  <c r="C18" i="1" l="1"/>
  <c r="E16" i="1"/>
  <c r="E17" i="1" s="1"/>
</calcChain>
</file>

<file path=xl/sharedStrings.xml><?xml version="1.0" encoding="utf-8"?>
<sst xmlns="http://schemas.openxmlformats.org/spreadsheetml/2006/main" count="157" uniqueCount="114">
  <si>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</si>
  <si>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</si>
  <si>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</si>
  <si>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</si>
  <si>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</si>
  <si>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</si>
  <si>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</si>
  <si>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</si>
  <si>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</si>
  <si>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</si>
  <si>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</si>
  <si>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</si>
  <si>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</si>
  <si>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</si>
  <si>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</si>
  <si>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</si>
  <si>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</si>
  <si>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</si>
  <si>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</si>
  <si>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</si>
  <si>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</si>
  <si>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</si>
  <si>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</si>
  <si>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</si>
  <si>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</si>
  <si>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</si>
  <si>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</si>
  <si>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</si>
  <si>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</si>
  <si>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</si>
  <si>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</t>
  </si>
  <si>
    <t>IBVS 5507</t>
  </si>
  <si>
    <t>I</t>
  </si>
  <si>
    <t>II</t>
  </si>
  <si>
    <t>This may also feature an eccentric orbit.</t>
  </si>
  <si>
    <t>Cycle count and period are not clear.</t>
  </si>
  <si>
    <t># of data points:</t>
  </si>
  <si>
    <t>06 49 21.99 -00 23 46.6</t>
  </si>
  <si>
    <t>CF Mon / na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</si>
  <si>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</si>
  <si>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</si>
  <si>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</si>
  <si>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</si>
  <si>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</si>
  <si>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</si>
  <si>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</si>
  <si>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</si>
  <si>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5894</t>
  </si>
  <si>
    <t>Add cycle</t>
  </si>
  <si>
    <t>Old Cycle</t>
  </si>
  <si>
    <t>IBVS 6048</t>
  </si>
  <si>
    <t>IBVS 6063</t>
  </si>
  <si>
    <t>p</t>
  </si>
  <si>
    <t>VSX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</si>
  <si>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</si>
  <si>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</si>
  <si>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</si>
  <si>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</si>
  <si>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</si>
  <si>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</si>
  <si>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</si>
  <si>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</si>
  <si>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</si>
  <si>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</si>
  <si>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</si>
  <si>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</si>
  <si>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2451165.3090 </t>
  </si>
  <si>
    <t> 17.12.1998 19:24 </t>
  </si>
  <si>
    <t> -0.0196 </t>
  </si>
  <si>
    <t>E </t>
  </si>
  <si>
    <t>?</t>
  </si>
  <si>
    <t> Ogloza&amp;Zakrewski </t>
  </si>
  <si>
    <t>IBVS 5507 </t>
  </si>
  <si>
    <t>2451166.6760 </t>
  </si>
  <si>
    <t> 19.12.1998 04:13 </t>
  </si>
  <si>
    <t> 0.0422 </t>
  </si>
  <si>
    <t>2454154.3158 </t>
  </si>
  <si>
    <t> 22.02.2007 19:34 </t>
  </si>
  <si>
    <t> -0.0053 </t>
  </si>
  <si>
    <t>C </t>
  </si>
  <si>
    <t>-I</t>
  </si>
  <si>
    <t> F.Agerer </t>
  </si>
  <si>
    <t>BAVM 186 </t>
  </si>
  <si>
    <t>2454882.6455 </t>
  </si>
  <si>
    <t> 20.02.2009 03:29 </t>
  </si>
  <si>
    <t>9513</t>
  </si>
  <si>
    <t> 0.0022 </t>
  </si>
  <si>
    <t> R.Diethelm </t>
  </si>
  <si>
    <t>IBVS 5894 </t>
  </si>
  <si>
    <t>2455980.3692 </t>
  </si>
  <si>
    <t> 22.02.2012 20:51 </t>
  </si>
  <si>
    <t>9933.5</t>
  </si>
  <si>
    <t> 0.0217 </t>
  </si>
  <si>
    <t>BAVM 228 </t>
  </si>
  <si>
    <t>2456336.6733 </t>
  </si>
  <si>
    <t> 13.02.2013 04:09 </t>
  </si>
  <si>
    <t>10070</t>
  </si>
  <si>
    <t> -0.0039 </t>
  </si>
  <si>
    <t>B</t>
  </si>
  <si>
    <t>IBVS 6063 </t>
  </si>
  <si>
    <t>2456336.6739 </t>
  </si>
  <si>
    <t> 13.02.2013 04:10 </t>
  </si>
  <si>
    <t> -0.0033 </t>
  </si>
  <si>
    <t>R</t>
  </si>
  <si>
    <t>2456336.6748 </t>
  </si>
  <si>
    <t> 13.02.2013 04:11 </t>
  </si>
  <si>
    <t> -0.0024 </t>
  </si>
  <si>
    <t>2457065.0035 </t>
  </si>
  <si>
    <t> 11.02.2015 12:05 </t>
  </si>
  <si>
    <t>10349</t>
  </si>
  <si>
    <t> 0.0041 </t>
  </si>
  <si>
    <t> W.Moschner &amp; P.Frank </t>
  </si>
  <si>
    <t>BAVM 241 (=IBVS 6157) </t>
  </si>
  <si>
    <t>OEJV 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</si>
</sst>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2" fillId="0" borderId="0" xfId="8" applyFont="1" applyAlignment="1">
      <alignment vertical="center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left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Mon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C-4739-ACBA-0A916A9A67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-1.9568200106732547E-2</c:v>
                </c:pt>
                <c:pt idx="2">
                  <c:v>4.21948999792221E-2</c:v>
                </c:pt>
                <c:pt idx="3">
                  <c:v>-5.2692000026581809E-3</c:v>
                </c:pt>
                <c:pt idx="4">
                  <c:v>2.2406000061891973E-3</c:v>
                </c:pt>
                <c:pt idx="5">
                  <c:v>2.1707700005208608E-2</c:v>
                </c:pt>
                <c:pt idx="6">
                  <c:v>-3.8559999957215041E-3</c:v>
                </c:pt>
                <c:pt idx="7">
                  <c:v>-3.1859999944572337E-3</c:v>
                </c:pt>
                <c:pt idx="8">
                  <c:v>-2.3359999904641882E-3</c:v>
                </c:pt>
                <c:pt idx="9">
                  <c:v>4.1437999971094541E-3</c:v>
                </c:pt>
                <c:pt idx="10">
                  <c:v>3.1881999966572039E-3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AC-4739-ACBA-0A916A9A67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AC-4739-ACBA-0A916A9A67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AC-4739-ACBA-0A916A9A67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AC-4739-ACBA-0A916A9A67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AC-4739-ACBA-0A916A9A67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2.2000000000000001E-3</c:v>
                  </c:pt>
                  <c:pt idx="2">
                    <c:v>3.2000000000000002E-3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9.1999999999999998E-3</c:v>
                  </c:pt>
                  <c:pt idx="6">
                    <c:v>3.2000000000000003E-4</c:v>
                  </c:pt>
                  <c:pt idx="7">
                    <c:v>2.0000000000000001E-4</c:v>
                  </c:pt>
                  <c:pt idx="8">
                    <c:v>1.4999999999999999E-4</c:v>
                  </c:pt>
                  <c:pt idx="9">
                    <c:v>1E-4</c:v>
                  </c:pt>
                  <c:pt idx="10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AC-4739-ACBA-0A916A9A67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8089</c:v>
                </c:pt>
                <c:pt idx="2">
                  <c:v>8089.5</c:v>
                </c:pt>
                <c:pt idx="3">
                  <c:v>9234</c:v>
                </c:pt>
                <c:pt idx="4">
                  <c:v>9513</c:v>
                </c:pt>
                <c:pt idx="5">
                  <c:v>9933.5</c:v>
                </c:pt>
                <c:pt idx="6">
                  <c:v>10070</c:v>
                </c:pt>
                <c:pt idx="7">
                  <c:v>10070</c:v>
                </c:pt>
                <c:pt idx="8">
                  <c:v>10070</c:v>
                </c:pt>
                <c:pt idx="9">
                  <c:v>10349</c:v>
                </c:pt>
                <c:pt idx="10">
                  <c:v>10911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2.5451005518576002E-3</c:v>
                </c:pt>
                <c:pt idx="1">
                  <c:v>3.4909426071232348E-3</c:v>
                </c:pt>
                <c:pt idx="2">
                  <c:v>3.4910010718318058E-3</c:v>
                </c:pt>
                <c:pt idx="3">
                  <c:v>3.6248267897513904E-3</c:v>
                </c:pt>
                <c:pt idx="4">
                  <c:v>3.6574500971341462E-3</c:v>
                </c:pt>
                <c:pt idx="5">
                  <c:v>3.7066189170425652E-3</c:v>
                </c:pt>
                <c:pt idx="6">
                  <c:v>3.7225797824825156E-3</c:v>
                </c:pt>
                <c:pt idx="7">
                  <c:v>3.7225797824825156E-3</c:v>
                </c:pt>
                <c:pt idx="8">
                  <c:v>3.7225797824825156E-3</c:v>
                </c:pt>
                <c:pt idx="9">
                  <c:v>3.7552030898652714E-3</c:v>
                </c:pt>
                <c:pt idx="10">
                  <c:v>3.8209174222993527E-3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AC-4739-ACBA-0A916A9A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84368"/>
        <c:axId val="1"/>
      </c:scatterChart>
      <c:valAx>
        <c:axId val="634084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84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19050</xdr:rowOff>
    </xdr:from>
    <xdr:to>
      <xdr:col>15</xdr:col>
      <xdr:colOff>266700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F8C7DB5-FBF2-29F6-ADDF-434B07A1A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konkoly.hu/cgi-bin/IBVS?5507" TargetMode="External"/><Relationship Id="rId1" Type="http://schemas.openxmlformats.org/officeDocument/2006/relationships/hyperlink" Target="http://www.konkoly.hu/cgi-bin/IBVS?5507" TargetMode="External"/><Relationship Id="rId6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  <c r="C1" s="3" t="s">
        <v>37</v>
      </c>
    </row>
    <row r="2" spans="1:7" s="21" customFormat="1" ht="12.95" customHeight="1">
      <c r="A2" s="21" t="s">
        <v>25</v>
      </c>
      <c r="B2" s="21" t="s">
        <v>30</v>
      </c>
      <c r="C2" s="22" t="s">
        <v>35</v>
      </c>
    </row>
    <row r="3" spans="1:7" s="21" customFormat="1" ht="12.95" customHeight="1" thickBot="1">
      <c r="C3" s="22" t="s">
        <v>34</v>
      </c>
    </row>
    <row r="4" spans="1:7" s="21" customFormat="1" ht="12.95" customHeight="1" thickTop="1" thickBot="1">
      <c r="A4" s="23" t="s">
        <v>0</v>
      </c>
      <c r="C4" s="24">
        <v>30049.205999999998</v>
      </c>
      <c r="D4" s="25">
        <v>2.6104737999999998</v>
      </c>
    </row>
    <row r="5" spans="1:7" s="21" customFormat="1" ht="12.95" customHeight="1" thickTop="1"/>
    <row r="6" spans="1:7" s="21" customFormat="1" ht="12.95" customHeight="1">
      <c r="A6" s="23" t="s">
        <v>1</v>
      </c>
    </row>
    <row r="7" spans="1:7" s="21" customFormat="1" ht="12.95" customHeight="1">
      <c r="A7" s="21" t="s">
        <v>2</v>
      </c>
      <c r="C7" s="21">
        <f>+C4</f>
        <v>30049.205999999998</v>
      </c>
      <c r="D7" s="21" t="s">
        <v>53</v>
      </c>
    </row>
    <row r="8" spans="1:7" s="21" customFormat="1" ht="12.95" customHeight="1">
      <c r="A8" s="21" t="s">
        <v>3</v>
      </c>
      <c r="C8" s="21">
        <f>+D4</f>
        <v>2.6104737999999998</v>
      </c>
      <c r="D8" s="26" t="s">
        <v>53</v>
      </c>
    </row>
    <row r="9" spans="1:7" s="21" customFormat="1" ht="12.95" customHeight="1">
      <c r="A9" s="27" t="s">
        <v>39</v>
      </c>
      <c r="C9" s="28">
        <v>-9.5</v>
      </c>
      <c r="D9" s="21" t="s">
        <v>40</v>
      </c>
    </row>
    <row r="10" spans="1:7" s="21" customFormat="1" ht="12.95" customHeight="1" thickBot="1">
      <c r="C10" s="29" t="s">
        <v>21</v>
      </c>
      <c r="D10" s="29" t="s">
        <v>22</v>
      </c>
    </row>
    <row r="11" spans="1:7" s="21" customFormat="1" ht="12.95" customHeight="1">
      <c r="A11" s="21" t="s">
        <v>16</v>
      </c>
      <c r="C11" s="30">
        <f ca="1">INTERCEPT(INDIRECT($G$11):G985,INDIRECT($F$11):F985)</f>
        <v>2.5451005518576002E-3</v>
      </c>
      <c r="D11" s="31"/>
      <c r="F11" s="32" t="str">
        <f>"F"&amp;E19</f>
        <v>F21</v>
      </c>
      <c r="G11" s="30" t="str">
        <f>"G"&amp;E19</f>
        <v>G21</v>
      </c>
    </row>
    <row r="12" spans="1:7" s="21" customFormat="1" ht="12.95" customHeight="1">
      <c r="A12" s="21" t="s">
        <v>17</v>
      </c>
      <c r="C12" s="30">
        <f ca="1">SLOPE(INDIRECT($G$11):G985,INDIRECT($F$11):F985)</f>
        <v>1.1692941714249407E-7</v>
      </c>
      <c r="D12" s="31"/>
    </row>
    <row r="13" spans="1:7" s="21" customFormat="1" ht="12.95" customHeight="1">
      <c r="A13" s="21" t="s">
        <v>20</v>
      </c>
      <c r="C13" s="31" t="s">
        <v>14</v>
      </c>
      <c r="D13" s="26" t="s">
        <v>48</v>
      </c>
      <c r="E13" s="28">
        <v>1</v>
      </c>
    </row>
    <row r="14" spans="1:7" s="21" customFormat="1" ht="12.95" customHeight="1">
      <c r="D14" s="26" t="s">
        <v>41</v>
      </c>
      <c r="E14" s="33">
        <f ca="1">NOW()+15018.5+$C$9/24</f>
        <v>60359.831657754628</v>
      </c>
    </row>
    <row r="15" spans="1:7" s="21" customFormat="1" ht="12.95" customHeight="1">
      <c r="A15" s="34" t="s">
        <v>18</v>
      </c>
      <c r="C15" s="35">
        <f ca="1">(C7+C11)+(C8+C12)*INT(MAX(F21:F3526))</f>
        <v>58532.089452717424</v>
      </c>
      <c r="D15" s="26" t="s">
        <v>49</v>
      </c>
      <c r="E15" s="33">
        <f ca="1">ROUND(2*(E14-$C$7)/$C$8,0)/2+E13</f>
        <v>11612</v>
      </c>
    </row>
    <row r="16" spans="1:7" s="21" customFormat="1" ht="12.95" customHeight="1">
      <c r="A16" s="23" t="s">
        <v>4</v>
      </c>
      <c r="C16" s="36">
        <f ca="1">+C8+C12</f>
        <v>2.6104739169294171</v>
      </c>
      <c r="D16" s="26" t="s">
        <v>42</v>
      </c>
      <c r="E16" s="30">
        <f ca="1">ROUND(2*(E14-$C$15)/$C$16,0)/2+E13</f>
        <v>701</v>
      </c>
    </row>
    <row r="17" spans="1:17" s="21" customFormat="1" ht="12.95" customHeight="1" thickBot="1">
      <c r="A17" s="26" t="s">
        <v>36</v>
      </c>
      <c r="C17" s="21">
        <f>COUNT(C21:C2184)</f>
        <v>11</v>
      </c>
      <c r="D17" s="26" t="s">
        <v>43</v>
      </c>
      <c r="E17" s="37">
        <f ca="1">+$C$15+$C$16*E16-15018.5-$C$9/24</f>
        <v>45343.927501818282</v>
      </c>
    </row>
    <row r="18" spans="1:17" s="21" customFormat="1" ht="12.95" customHeight="1">
      <c r="A18" s="23" t="s">
        <v>5</v>
      </c>
      <c r="C18" s="24">
        <f ca="1">+C15</f>
        <v>58532.089452717424</v>
      </c>
      <c r="D18" s="25">
        <f ca="1">+C16</f>
        <v>2.6104739169294171</v>
      </c>
      <c r="E18" s="38" t="s">
        <v>44</v>
      </c>
    </row>
    <row r="19" spans="1:17" s="21" customFormat="1" ht="12.95" customHeight="1" thickTop="1">
      <c r="A19" s="39" t="s">
        <v>46</v>
      </c>
      <c r="E19" s="40">
        <v>21</v>
      </c>
    </row>
    <row r="20" spans="1:17" s="21" customFormat="1" ht="12.95" customHeight="1" thickBot="1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41" t="s">
        <v>12</v>
      </c>
      <c r="I20" s="41" t="s">
        <v>57</v>
      </c>
      <c r="J20" s="41" t="s">
        <v>19</v>
      </c>
      <c r="K20" s="41" t="s">
        <v>26</v>
      </c>
      <c r="L20" s="41" t="s">
        <v>27</v>
      </c>
      <c r="M20" s="41" t="s">
        <v>28</v>
      </c>
      <c r="N20" s="41" t="s">
        <v>29</v>
      </c>
      <c r="O20" s="41" t="s">
        <v>24</v>
      </c>
      <c r="P20" s="42" t="s">
        <v>23</v>
      </c>
      <c r="Q20" s="29" t="s">
        <v>15</v>
      </c>
    </row>
    <row r="21" spans="1:17" s="21" customFormat="1" ht="12.95" customHeight="1">
      <c r="A21" s="21" t="str">
        <f>$D$7</f>
        <v>VSX</v>
      </c>
      <c r="C21" s="43">
        <f>$C$7</f>
        <v>30049.205999999998</v>
      </c>
      <c r="D21" s="43" t="s">
        <v>14</v>
      </c>
      <c r="E21" s="21">
        <f t="shared" ref="E21:E30" si="0">+(C21-C$7)/C$8</f>
        <v>0</v>
      </c>
      <c r="F21" s="21">
        <f t="shared" ref="F21:F31" si="1">ROUND(2*E21,0)/2</f>
        <v>0</v>
      </c>
      <c r="G21" s="21">
        <f t="shared" ref="G21:G30" si="2">+C21-(C$7+F21*C$8)</f>
        <v>0</v>
      </c>
      <c r="H21" s="21">
        <f>+G21</f>
        <v>0</v>
      </c>
      <c r="O21" s="21">
        <f t="shared" ref="O21:O30" ca="1" si="3">+C$11+C$12*$F21</f>
        <v>2.5451005518576002E-3</v>
      </c>
      <c r="Q21" s="44">
        <f t="shared" ref="Q21:Q30" si="4">+C21-15018.5</f>
        <v>15030.705999999998</v>
      </c>
    </row>
    <row r="22" spans="1:17" s="21" customFormat="1" ht="12.95" customHeight="1">
      <c r="A22" s="6" t="s">
        <v>31</v>
      </c>
      <c r="B22" s="7" t="s">
        <v>32</v>
      </c>
      <c r="C22" s="6">
        <v>51165.308999999892</v>
      </c>
      <c r="D22" s="45">
        <v>2.2000000000000001E-3</v>
      </c>
      <c r="E22" s="21">
        <f t="shared" si="0"/>
        <v>8088.9925039660984</v>
      </c>
      <c r="F22" s="21">
        <f t="shared" si="1"/>
        <v>8089</v>
      </c>
      <c r="G22" s="21">
        <f t="shared" si="2"/>
        <v>-1.9568200106732547E-2</v>
      </c>
      <c r="I22" s="21">
        <f t="shared" ref="I22:I30" si="5">+G22</f>
        <v>-1.9568200106732547E-2</v>
      </c>
      <c r="O22" s="21">
        <f t="shared" ca="1" si="3"/>
        <v>3.4909426071232348E-3</v>
      </c>
      <c r="Q22" s="44">
        <f t="shared" si="4"/>
        <v>36146.808999999892</v>
      </c>
    </row>
    <row r="23" spans="1:17" s="21" customFormat="1" ht="12.95" customHeight="1">
      <c r="A23" s="6" t="s">
        <v>31</v>
      </c>
      <c r="B23" s="7" t="s">
        <v>33</v>
      </c>
      <c r="C23" s="6">
        <v>51166.675999999978</v>
      </c>
      <c r="D23" s="45">
        <v>3.2000000000000002E-3</v>
      </c>
      <c r="E23" s="21">
        <f t="shared" si="0"/>
        <v>8089.5161636941084</v>
      </c>
      <c r="F23" s="21">
        <f t="shared" si="1"/>
        <v>8089.5</v>
      </c>
      <c r="G23" s="21">
        <f t="shared" si="2"/>
        <v>4.21948999792221E-2</v>
      </c>
      <c r="I23" s="21">
        <f t="shared" si="5"/>
        <v>4.21948999792221E-2</v>
      </c>
      <c r="O23" s="21">
        <f t="shared" ca="1" si="3"/>
        <v>3.4910010718318058E-3</v>
      </c>
      <c r="Q23" s="44">
        <f t="shared" si="4"/>
        <v>36148.175999999978</v>
      </c>
    </row>
    <row r="24" spans="1:17" s="21" customFormat="1" ht="12.95" customHeight="1">
      <c r="A24" s="6" t="s">
        <v>45</v>
      </c>
      <c r="B24" s="46"/>
      <c r="C24" s="6">
        <v>54154.315799999997</v>
      </c>
      <c r="D24" s="6">
        <v>2.0000000000000001E-4</v>
      </c>
      <c r="E24" s="21">
        <f t="shared" si="0"/>
        <v>9233.9979815158458</v>
      </c>
      <c r="F24" s="21">
        <f t="shared" si="1"/>
        <v>9234</v>
      </c>
      <c r="G24" s="21">
        <f t="shared" si="2"/>
        <v>-5.2692000026581809E-3</v>
      </c>
      <c r="I24" s="21">
        <f t="shared" si="5"/>
        <v>-5.2692000026581809E-3</v>
      </c>
      <c r="O24" s="21">
        <f t="shared" ca="1" si="3"/>
        <v>3.6248267897513904E-3</v>
      </c>
      <c r="Q24" s="44">
        <f t="shared" si="4"/>
        <v>39135.815799999997</v>
      </c>
    </row>
    <row r="25" spans="1:17" s="21" customFormat="1" ht="12.95" customHeight="1">
      <c r="A25" s="6" t="s">
        <v>47</v>
      </c>
      <c r="B25" s="7" t="s">
        <v>32</v>
      </c>
      <c r="C25" s="6">
        <v>54882.645499999999</v>
      </c>
      <c r="D25" s="6">
        <v>2.0000000000000001E-4</v>
      </c>
      <c r="E25" s="21">
        <f t="shared" si="0"/>
        <v>9513.0008583116214</v>
      </c>
      <c r="F25" s="21">
        <f t="shared" si="1"/>
        <v>9513</v>
      </c>
      <c r="G25" s="21">
        <f t="shared" si="2"/>
        <v>2.2406000061891973E-3</v>
      </c>
      <c r="I25" s="21">
        <f t="shared" si="5"/>
        <v>2.2406000061891973E-3</v>
      </c>
      <c r="O25" s="21">
        <f t="shared" ca="1" si="3"/>
        <v>3.6574500971341462E-3</v>
      </c>
      <c r="Q25" s="44">
        <f t="shared" si="4"/>
        <v>39864.145499999999</v>
      </c>
    </row>
    <row r="26" spans="1:17" s="21" customFormat="1" ht="12.95" customHeight="1">
      <c r="A26" s="47" t="s">
        <v>50</v>
      </c>
      <c r="B26" s="48" t="s">
        <v>33</v>
      </c>
      <c r="C26" s="49">
        <v>55980.369200000001</v>
      </c>
      <c r="D26" s="49">
        <v>9.1999999999999998E-3</v>
      </c>
      <c r="E26" s="21">
        <f t="shared" si="0"/>
        <v>9933.5083156168839</v>
      </c>
      <c r="F26" s="21">
        <f t="shared" si="1"/>
        <v>9933.5</v>
      </c>
      <c r="G26" s="21">
        <f t="shared" si="2"/>
        <v>2.1707700005208608E-2</v>
      </c>
      <c r="I26" s="21">
        <f t="shared" si="5"/>
        <v>2.1707700005208608E-2</v>
      </c>
      <c r="O26" s="21">
        <f t="shared" ca="1" si="3"/>
        <v>3.7066189170425652E-3</v>
      </c>
      <c r="Q26" s="44">
        <f t="shared" si="4"/>
        <v>40961.869200000001</v>
      </c>
    </row>
    <row r="27" spans="1:17" s="21" customFormat="1" ht="12.95" customHeight="1">
      <c r="A27" s="47" t="s">
        <v>51</v>
      </c>
      <c r="B27" s="48" t="s">
        <v>52</v>
      </c>
      <c r="C27" s="49">
        <v>56336.673309999998</v>
      </c>
      <c r="D27" s="49">
        <v>3.2000000000000003E-4</v>
      </c>
      <c r="E27" s="21">
        <f t="shared" si="0"/>
        <v>10069.998522873511</v>
      </c>
      <c r="F27" s="21">
        <f t="shared" si="1"/>
        <v>10070</v>
      </c>
      <c r="G27" s="21">
        <f t="shared" si="2"/>
        <v>-3.8559999957215041E-3</v>
      </c>
      <c r="I27" s="21">
        <f t="shared" si="5"/>
        <v>-3.8559999957215041E-3</v>
      </c>
      <c r="O27" s="21">
        <f t="shared" ca="1" si="3"/>
        <v>3.7225797824825156E-3</v>
      </c>
      <c r="Q27" s="44">
        <f t="shared" si="4"/>
        <v>41318.173309999998</v>
      </c>
    </row>
    <row r="28" spans="1:17" s="21" customFormat="1" ht="12.95" customHeight="1">
      <c r="A28" s="47" t="s">
        <v>51</v>
      </c>
      <c r="B28" s="48" t="s">
        <v>52</v>
      </c>
      <c r="C28" s="49">
        <v>56336.67398</v>
      </c>
      <c r="D28" s="49">
        <v>2.0000000000000001E-4</v>
      </c>
      <c r="E28" s="21">
        <f t="shared" si="0"/>
        <v>10069.998779531901</v>
      </c>
      <c r="F28" s="21">
        <f t="shared" si="1"/>
        <v>10070</v>
      </c>
      <c r="G28" s="21">
        <f t="shared" si="2"/>
        <v>-3.1859999944572337E-3</v>
      </c>
      <c r="I28" s="21">
        <f t="shared" si="5"/>
        <v>-3.1859999944572337E-3</v>
      </c>
      <c r="O28" s="21">
        <f t="shared" ca="1" si="3"/>
        <v>3.7225797824825156E-3</v>
      </c>
      <c r="Q28" s="44">
        <f t="shared" si="4"/>
        <v>41318.17398</v>
      </c>
    </row>
    <row r="29" spans="1:17" s="21" customFormat="1" ht="12.95" customHeight="1">
      <c r="A29" s="47" t="s">
        <v>51</v>
      </c>
      <c r="B29" s="48" t="s">
        <v>52</v>
      </c>
      <c r="C29" s="49">
        <v>56336.674830000004</v>
      </c>
      <c r="D29" s="49">
        <v>1.4999999999999999E-4</v>
      </c>
      <c r="E29" s="21">
        <f t="shared" si="0"/>
        <v>10069.999105143292</v>
      </c>
      <c r="F29" s="21">
        <f t="shared" si="1"/>
        <v>10070</v>
      </c>
      <c r="G29" s="21">
        <f t="shared" si="2"/>
        <v>-2.3359999904641882E-3</v>
      </c>
      <c r="I29" s="21">
        <f t="shared" si="5"/>
        <v>-2.3359999904641882E-3</v>
      </c>
      <c r="O29" s="21">
        <f t="shared" ca="1" si="3"/>
        <v>3.7225797824825156E-3</v>
      </c>
      <c r="Q29" s="44">
        <f t="shared" si="4"/>
        <v>41318.174830000004</v>
      </c>
    </row>
    <row r="30" spans="1:17" s="21" customFormat="1" ht="12.95" customHeight="1">
      <c r="A30" s="50" t="s">
        <v>54</v>
      </c>
      <c r="B30" s="51"/>
      <c r="C30" s="50">
        <v>57065.003499999999</v>
      </c>
      <c r="D30" s="50">
        <v>1E-4</v>
      </c>
      <c r="E30" s="21">
        <f t="shared" si="0"/>
        <v>10349.001587374676</v>
      </c>
      <c r="F30" s="21">
        <f t="shared" si="1"/>
        <v>10349</v>
      </c>
      <c r="G30" s="21">
        <f t="shared" si="2"/>
        <v>4.1437999971094541E-3</v>
      </c>
      <c r="I30" s="21">
        <f t="shared" si="5"/>
        <v>4.1437999971094541E-3</v>
      </c>
      <c r="O30" s="21">
        <f t="shared" ca="1" si="3"/>
        <v>3.7552030898652714E-3</v>
      </c>
      <c r="Q30" s="44">
        <f t="shared" si="4"/>
        <v>42046.503499999999</v>
      </c>
    </row>
    <row r="31" spans="1:17" s="21" customFormat="1" ht="12.95" customHeight="1">
      <c r="A31" s="52" t="s">
        <v>113</v>
      </c>
      <c r="B31" s="53" t="s">
        <v>32</v>
      </c>
      <c r="C31" s="54">
        <v>58532.088819999997</v>
      </c>
      <c r="D31" s="54">
        <v>6.0000000000000002E-5</v>
      </c>
      <c r="E31" s="21">
        <f>+(C31-C$7)/C$8</f>
        <v>10911.00122131086</v>
      </c>
      <c r="F31" s="21">
        <f t="shared" si="1"/>
        <v>10911</v>
      </c>
      <c r="G31" s="21">
        <f>+C31-(C$7+F31*C$8)</f>
        <v>3.1881999966572039E-3</v>
      </c>
      <c r="I31" s="21">
        <f>+G31</f>
        <v>3.1881999966572039E-3</v>
      </c>
      <c r="O31" s="21">
        <f ca="1">+C$11+C$12*$F31</f>
        <v>3.8209174222993527E-3</v>
      </c>
      <c r="Q31" s="44">
        <f>+C31-15018.5</f>
        <v>43513.588819999997</v>
      </c>
    </row>
    <row r="32" spans="1:17" s="21" customFormat="1" ht="12.95" customHeight="1">
      <c r="C32" s="43"/>
      <c r="D32" s="43"/>
    </row>
    <row r="33" spans="3:4" s="21" customFormat="1" ht="12.95" customHeight="1">
      <c r="C33" s="43"/>
      <c r="D33" s="43"/>
    </row>
    <row r="34" spans="3:4" s="21" customFormat="1" ht="12.95" customHeight="1">
      <c r="C34" s="43"/>
      <c r="D34" s="43"/>
    </row>
    <row r="35" spans="3:4" s="21" customFormat="1" ht="12.95" customHeight="1">
      <c r="C35" s="43"/>
      <c r="D35" s="43"/>
    </row>
    <row r="36" spans="3:4" s="21" customFormat="1" ht="12.95" customHeight="1">
      <c r="C36" s="43"/>
      <c r="D36" s="43"/>
    </row>
    <row r="37" spans="3:4" s="21" customFormat="1" ht="12.95" customHeight="1">
      <c r="C37" s="43"/>
      <c r="D37" s="43"/>
    </row>
    <row r="38" spans="3:4" s="21" customFormat="1" ht="12.95" customHeight="1">
      <c r="C38" s="43"/>
      <c r="D38" s="43"/>
    </row>
    <row r="39" spans="3:4" s="21" customFormat="1" ht="12.95" customHeight="1">
      <c r="C39" s="43"/>
      <c r="D39" s="43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</sheetData>
  <protectedRanges>
    <protectedRange sqref="A31:D31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workbookViewId="0">
      <selection activeCell="A15" sqref="A15:C19"/>
    </sheetView>
  </sheetViews>
  <sheetFormatPr defaultRowHeight="12.75"/>
  <cols>
    <col min="1" max="1" width="19.7109375" style="2" customWidth="1"/>
    <col min="2" max="2" width="4.42578125" style="4" customWidth="1"/>
    <col min="3" max="3" width="12.7109375" style="2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2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8" t="s">
        <v>55</v>
      </c>
      <c r="I1" s="9" t="s">
        <v>56</v>
      </c>
      <c r="J1" s="10" t="s">
        <v>57</v>
      </c>
    </row>
    <row r="2" spans="1:16">
      <c r="I2" s="11" t="s">
        <v>58</v>
      </c>
      <c r="J2" s="12" t="s">
        <v>59</v>
      </c>
    </row>
    <row r="3" spans="1:16">
      <c r="A3" s="13" t="s">
        <v>60</v>
      </c>
      <c r="I3" s="11" t="s">
        <v>61</v>
      </c>
      <c r="J3" s="12" t="s">
        <v>62</v>
      </c>
    </row>
    <row r="4" spans="1:16">
      <c r="I4" s="11" t="s">
        <v>63</v>
      </c>
      <c r="J4" s="12" t="s">
        <v>62</v>
      </c>
    </row>
    <row r="5" spans="1:16" ht="13.5" thickBot="1">
      <c r="I5" s="14" t="s">
        <v>64</v>
      </c>
      <c r="J5" s="15" t="s">
        <v>65</v>
      </c>
    </row>
    <row r="10" spans="1:16" ht="13.5" thickBot="1"/>
    <row r="11" spans="1:16" ht="12.75" customHeight="1" thickBot="1">
      <c r="A11" s="2" t="str">
        <f t="shared" ref="A11:A19" si="0">P11</f>
        <v>BAVM 241 (=IBVS 6157) </v>
      </c>
      <c r="B11" s="5" t="str">
        <f t="shared" ref="B11:B19" si="1">IF(H11=INT(H11),"I","II")</f>
        <v>I</v>
      </c>
      <c r="C11" s="2">
        <f t="shared" ref="C11:C19" si="2">1*G11</f>
        <v>57065.003499999999</v>
      </c>
      <c r="D11" s="4" t="str">
        <f t="shared" ref="D11:D19" si="3">VLOOKUP(F11,I$1:J$5,2,FALSE)</f>
        <v>vis</v>
      </c>
      <c r="E11" s="16">
        <f>VLOOKUP(C11,Active!C$21:E$968,3,FALSE)</f>
        <v>10349.001587374676</v>
      </c>
      <c r="F11" s="5" t="s">
        <v>64</v>
      </c>
      <c r="G11" s="4" t="str">
        <f t="shared" ref="G11:G19" si="4">MID(I11,3,LEN(I11)-3)</f>
        <v>57065.0035</v>
      </c>
      <c r="H11" s="2">
        <f t="shared" ref="H11:H19" si="5">1*K11</f>
        <v>10349</v>
      </c>
      <c r="I11" s="17" t="s">
        <v>107</v>
      </c>
      <c r="J11" s="18" t="s">
        <v>108</v>
      </c>
      <c r="K11" s="17" t="s">
        <v>109</v>
      </c>
      <c r="L11" s="17" t="s">
        <v>110</v>
      </c>
      <c r="M11" s="18" t="s">
        <v>79</v>
      </c>
      <c r="N11" s="18" t="s">
        <v>64</v>
      </c>
      <c r="O11" s="19" t="s">
        <v>111</v>
      </c>
      <c r="P11" s="20" t="s">
        <v>112</v>
      </c>
    </row>
    <row r="12" spans="1:16" ht="12.75" customHeight="1" thickBot="1">
      <c r="A12" s="2" t="str">
        <f t="shared" si="0"/>
        <v>BAVM 186 </v>
      </c>
      <c r="B12" s="5" t="str">
        <f t="shared" si="1"/>
        <v>I</v>
      </c>
      <c r="C12" s="2">
        <f t="shared" si="2"/>
        <v>54154.315799999997</v>
      </c>
      <c r="D12" s="4" t="str">
        <f t="shared" si="3"/>
        <v>vis</v>
      </c>
      <c r="E12" s="16">
        <f>VLOOKUP(C12,Active!C$21:E$968,3,FALSE)</f>
        <v>9233.9979815158458</v>
      </c>
      <c r="F12" s="5" t="s">
        <v>64</v>
      </c>
      <c r="G12" s="4" t="str">
        <f t="shared" si="4"/>
        <v>54154.3158</v>
      </c>
      <c r="H12" s="2">
        <f t="shared" si="5"/>
        <v>9234</v>
      </c>
      <c r="I12" s="17" t="s">
        <v>76</v>
      </c>
      <c r="J12" s="18" t="s">
        <v>77</v>
      </c>
      <c r="K12" s="17">
        <v>9234</v>
      </c>
      <c r="L12" s="17" t="s">
        <v>78</v>
      </c>
      <c r="M12" s="18" t="s">
        <v>79</v>
      </c>
      <c r="N12" s="18" t="s">
        <v>80</v>
      </c>
      <c r="O12" s="19" t="s">
        <v>81</v>
      </c>
      <c r="P12" s="20" t="s">
        <v>82</v>
      </c>
    </row>
    <row r="13" spans="1:16" ht="12.75" customHeight="1" thickBot="1">
      <c r="A13" s="2" t="str">
        <f t="shared" si="0"/>
        <v>IBVS 5894 </v>
      </c>
      <c r="B13" s="5" t="str">
        <f t="shared" si="1"/>
        <v>I</v>
      </c>
      <c r="C13" s="2">
        <f t="shared" si="2"/>
        <v>54882.645499999999</v>
      </c>
      <c r="D13" s="4" t="str">
        <f t="shared" si="3"/>
        <v>vis</v>
      </c>
      <c r="E13" s="16">
        <f>VLOOKUP(C13,Active!C$21:E$968,3,FALSE)</f>
        <v>9513.0008583116214</v>
      </c>
      <c r="F13" s="5" t="s">
        <v>64</v>
      </c>
      <c r="G13" s="4" t="str">
        <f t="shared" si="4"/>
        <v>54882.6455</v>
      </c>
      <c r="H13" s="2">
        <f t="shared" si="5"/>
        <v>9513</v>
      </c>
      <c r="I13" s="17" t="s">
        <v>83</v>
      </c>
      <c r="J13" s="18" t="s">
        <v>84</v>
      </c>
      <c r="K13" s="17" t="s">
        <v>85</v>
      </c>
      <c r="L13" s="17" t="s">
        <v>86</v>
      </c>
      <c r="M13" s="18" t="s">
        <v>79</v>
      </c>
      <c r="N13" s="18" t="s">
        <v>64</v>
      </c>
      <c r="O13" s="19" t="s">
        <v>87</v>
      </c>
      <c r="P13" s="20" t="s">
        <v>88</v>
      </c>
    </row>
    <row r="14" spans="1:16" ht="12.75" customHeight="1" thickBot="1">
      <c r="A14" s="2" t="str">
        <f t="shared" si="0"/>
        <v>BAVM 228 </v>
      </c>
      <c r="B14" s="5" t="str">
        <f t="shared" si="1"/>
        <v>II</v>
      </c>
      <c r="C14" s="2">
        <f t="shared" si="2"/>
        <v>55980.369200000001</v>
      </c>
      <c r="D14" s="4" t="str">
        <f t="shared" si="3"/>
        <v>vis</v>
      </c>
      <c r="E14" s="16">
        <f>VLOOKUP(C14,Active!C$21:E$968,3,FALSE)</f>
        <v>9933.5083156168839</v>
      </c>
      <c r="F14" s="5" t="s">
        <v>64</v>
      </c>
      <c r="G14" s="4" t="str">
        <f t="shared" si="4"/>
        <v>55980.3692</v>
      </c>
      <c r="H14" s="2">
        <f t="shared" si="5"/>
        <v>9933.5</v>
      </c>
      <c r="I14" s="17" t="s">
        <v>89</v>
      </c>
      <c r="J14" s="18" t="s">
        <v>90</v>
      </c>
      <c r="K14" s="17" t="s">
        <v>91</v>
      </c>
      <c r="L14" s="17" t="s">
        <v>92</v>
      </c>
      <c r="M14" s="18" t="s">
        <v>79</v>
      </c>
      <c r="N14" s="18" t="s">
        <v>80</v>
      </c>
      <c r="O14" s="19" t="s">
        <v>81</v>
      </c>
      <c r="P14" s="20" t="s">
        <v>93</v>
      </c>
    </row>
    <row r="15" spans="1:16" ht="12.75" customHeight="1" thickBot="1">
      <c r="A15" s="2" t="str">
        <f t="shared" si="0"/>
        <v>IBVS 5507 </v>
      </c>
      <c r="B15" s="5" t="str">
        <f t="shared" si="1"/>
        <v>I</v>
      </c>
      <c r="C15" s="2">
        <f t="shared" si="2"/>
        <v>51165.309000000001</v>
      </c>
      <c r="D15" s="4" t="str">
        <f t="shared" si="3"/>
        <v>vis</v>
      </c>
      <c r="E15" s="16" t="e">
        <f>VLOOKUP(C15,Active!C$21:E$968,3,FALSE)</f>
        <v>#N/A</v>
      </c>
      <c r="F15" s="5" t="s">
        <v>64</v>
      </c>
      <c r="G15" s="4" t="str">
        <f t="shared" si="4"/>
        <v>51165.3090</v>
      </c>
      <c r="H15" s="2">
        <f t="shared" si="5"/>
        <v>8089</v>
      </c>
      <c r="I15" s="17" t="s">
        <v>66</v>
      </c>
      <c r="J15" s="18" t="s">
        <v>67</v>
      </c>
      <c r="K15" s="17">
        <v>8089</v>
      </c>
      <c r="L15" s="17" t="s">
        <v>68</v>
      </c>
      <c r="M15" s="18" t="s">
        <v>69</v>
      </c>
      <c r="N15" s="18" t="s">
        <v>70</v>
      </c>
      <c r="O15" s="19" t="s">
        <v>71</v>
      </c>
      <c r="P15" s="20" t="s">
        <v>72</v>
      </c>
    </row>
    <row r="16" spans="1:16" ht="12.75" customHeight="1" thickBot="1">
      <c r="A16" s="2" t="str">
        <f t="shared" si="0"/>
        <v>IBVS 5507 </v>
      </c>
      <c r="B16" s="5" t="str">
        <f t="shared" si="1"/>
        <v>II</v>
      </c>
      <c r="C16" s="2">
        <f t="shared" si="2"/>
        <v>51166.675999999999</v>
      </c>
      <c r="D16" s="4" t="str">
        <f t="shared" si="3"/>
        <v>vis</v>
      </c>
      <c r="E16" s="16" t="e">
        <f>VLOOKUP(C16,Active!C$21:E$968,3,FALSE)</f>
        <v>#N/A</v>
      </c>
      <c r="F16" s="5" t="s">
        <v>64</v>
      </c>
      <c r="G16" s="4" t="str">
        <f t="shared" si="4"/>
        <v>51166.6760</v>
      </c>
      <c r="H16" s="2">
        <f t="shared" si="5"/>
        <v>8089.5</v>
      </c>
      <c r="I16" s="17" t="s">
        <v>73</v>
      </c>
      <c r="J16" s="18" t="s">
        <v>74</v>
      </c>
      <c r="K16" s="17">
        <v>8089.5</v>
      </c>
      <c r="L16" s="17" t="s">
        <v>75</v>
      </c>
      <c r="M16" s="18" t="s">
        <v>69</v>
      </c>
      <c r="N16" s="18" t="s">
        <v>70</v>
      </c>
      <c r="O16" s="19" t="s">
        <v>71</v>
      </c>
      <c r="P16" s="20" t="s">
        <v>72</v>
      </c>
    </row>
    <row r="17" spans="1:16" ht="12.75" customHeight="1" thickBot="1">
      <c r="A17" s="2" t="str">
        <f t="shared" si="0"/>
        <v>IBVS 6063 </v>
      </c>
      <c r="B17" s="5" t="str">
        <f t="shared" si="1"/>
        <v>I</v>
      </c>
      <c r="C17" s="2">
        <f t="shared" si="2"/>
        <v>56336.673300000002</v>
      </c>
      <c r="D17" s="4" t="str">
        <f t="shared" si="3"/>
        <v>vis</v>
      </c>
      <c r="E17" s="16" t="e">
        <f>VLOOKUP(C17,Active!C$21:E$968,3,FALSE)</f>
        <v>#N/A</v>
      </c>
      <c r="F17" s="5" t="s">
        <v>64</v>
      </c>
      <c r="G17" s="4" t="str">
        <f t="shared" si="4"/>
        <v>56336.6733</v>
      </c>
      <c r="H17" s="2">
        <f t="shared" si="5"/>
        <v>10070</v>
      </c>
      <c r="I17" s="17" t="s">
        <v>94</v>
      </c>
      <c r="J17" s="18" t="s">
        <v>95</v>
      </c>
      <c r="K17" s="17" t="s">
        <v>96</v>
      </c>
      <c r="L17" s="17" t="s">
        <v>97</v>
      </c>
      <c r="M17" s="18" t="s">
        <v>79</v>
      </c>
      <c r="N17" s="18" t="s">
        <v>98</v>
      </c>
      <c r="O17" s="19" t="s">
        <v>87</v>
      </c>
      <c r="P17" s="20" t="s">
        <v>99</v>
      </c>
    </row>
    <row r="18" spans="1:16" ht="12.75" customHeight="1" thickBot="1">
      <c r="A18" s="2" t="str">
        <f t="shared" si="0"/>
        <v>IBVS 6063 </v>
      </c>
      <c r="B18" s="5" t="str">
        <f t="shared" si="1"/>
        <v>I</v>
      </c>
      <c r="C18" s="2">
        <f t="shared" si="2"/>
        <v>56336.673900000002</v>
      </c>
      <c r="D18" s="4" t="str">
        <f t="shared" si="3"/>
        <v>vis</v>
      </c>
      <c r="E18" s="16" t="e">
        <f>VLOOKUP(C18,Active!C$21:E$968,3,FALSE)</f>
        <v>#N/A</v>
      </c>
      <c r="F18" s="5" t="s">
        <v>64</v>
      </c>
      <c r="G18" s="4" t="str">
        <f t="shared" si="4"/>
        <v>56336.6739</v>
      </c>
      <c r="H18" s="2">
        <f t="shared" si="5"/>
        <v>10070</v>
      </c>
      <c r="I18" s="17" t="s">
        <v>100</v>
      </c>
      <c r="J18" s="18" t="s">
        <v>101</v>
      </c>
      <c r="K18" s="17" t="s">
        <v>96</v>
      </c>
      <c r="L18" s="17" t="s">
        <v>102</v>
      </c>
      <c r="M18" s="18" t="s">
        <v>79</v>
      </c>
      <c r="N18" s="18" t="s">
        <v>103</v>
      </c>
      <c r="O18" s="19" t="s">
        <v>87</v>
      </c>
      <c r="P18" s="20" t="s">
        <v>99</v>
      </c>
    </row>
    <row r="19" spans="1:16" ht="12.75" customHeight="1" thickBot="1">
      <c r="A19" s="2" t="str">
        <f t="shared" si="0"/>
        <v>IBVS 6063 </v>
      </c>
      <c r="B19" s="5" t="str">
        <f t="shared" si="1"/>
        <v>I</v>
      </c>
      <c r="C19" s="2">
        <f t="shared" si="2"/>
        <v>56336.674800000001</v>
      </c>
      <c r="D19" s="4" t="str">
        <f t="shared" si="3"/>
        <v>vis</v>
      </c>
      <c r="E19" s="16" t="e">
        <f>VLOOKUP(C19,Active!C$21:E$968,3,FALSE)</f>
        <v>#N/A</v>
      </c>
      <c r="F19" s="5" t="s">
        <v>64</v>
      </c>
      <c r="G19" s="4" t="str">
        <f t="shared" si="4"/>
        <v>56336.6748</v>
      </c>
      <c r="H19" s="2">
        <f t="shared" si="5"/>
        <v>10070</v>
      </c>
      <c r="I19" s="17" t="s">
        <v>104</v>
      </c>
      <c r="J19" s="18" t="s">
        <v>105</v>
      </c>
      <c r="K19" s="17" t="s">
        <v>96</v>
      </c>
      <c r="L19" s="17" t="s">
        <v>106</v>
      </c>
      <c r="M19" s="18" t="s">
        <v>79</v>
      </c>
      <c r="N19" s="18" t="s">
        <v>64</v>
      </c>
      <c r="O19" s="19" t="s">
        <v>87</v>
      </c>
      <c r="P19" s="20" t="s">
        <v>99</v>
      </c>
    </row>
    <row r="20" spans="1:16">
      <c r="B20" s="5"/>
      <c r="E20" s="16"/>
      <c r="F20" s="5"/>
    </row>
    <row r="21" spans="1:16">
      <c r="B21" s="5"/>
      <c r="E21" s="16"/>
      <c r="F21" s="5"/>
    </row>
    <row r="22" spans="1:16">
      <c r="B22" s="5"/>
      <c r="E22" s="16"/>
      <c r="F22" s="5"/>
    </row>
    <row r="23" spans="1:16">
      <c r="B23" s="5"/>
      <c r="E23" s="16"/>
      <c r="F23" s="5"/>
    </row>
    <row r="24" spans="1:16">
      <c r="B24" s="5"/>
      <c r="E24" s="16"/>
      <c r="F24" s="5"/>
    </row>
    <row r="25" spans="1:16">
      <c r="B25" s="5"/>
      <c r="E25" s="16"/>
      <c r="F25" s="5"/>
    </row>
    <row r="26" spans="1:16">
      <c r="B26" s="5"/>
      <c r="E26" s="16"/>
      <c r="F26" s="5"/>
    </row>
    <row r="27" spans="1:16">
      <c r="B27" s="5"/>
      <c r="E27" s="16"/>
      <c r="F27" s="5"/>
    </row>
    <row r="28" spans="1:16">
      <c r="B28" s="5"/>
      <c r="E28" s="16"/>
      <c r="F28" s="5"/>
    </row>
    <row r="29" spans="1:16">
      <c r="B29" s="5"/>
      <c r="E29" s="16"/>
      <c r="F29" s="5"/>
    </row>
    <row r="30" spans="1:16">
      <c r="B30" s="5"/>
      <c r="E30" s="16"/>
      <c r="F30" s="5"/>
    </row>
    <row r="31" spans="1:16">
      <c r="B31" s="5"/>
      <c r="E31" s="16"/>
      <c r="F31" s="5"/>
    </row>
    <row r="32" spans="1:16">
      <c r="B32" s="5"/>
      <c r="E32" s="16"/>
      <c r="F32" s="5"/>
    </row>
    <row r="33" spans="2:6">
      <c r="B33" s="5"/>
      <c r="E33" s="16"/>
      <c r="F33" s="5"/>
    </row>
    <row r="34" spans="2:6">
      <c r="B34" s="5"/>
      <c r="E34" s="16"/>
      <c r="F34" s="5"/>
    </row>
    <row r="35" spans="2:6">
      <c r="B35" s="5"/>
      <c r="E35" s="16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</sheetData>
  <phoneticPr fontId="8" type="noConversion"/>
  <hyperlinks>
    <hyperlink ref="P15" r:id="rId1" display="http://www.konkoly.hu/cgi-bin/IBVS?5507"/>
    <hyperlink ref="P16" r:id="rId2" display="http://www.konkoly.hu/cgi-bin/IBVS?5507"/>
    <hyperlink ref="P12" r:id="rId3" display="http://www.bav-astro.de/sfs/BAVM_link.php?BAVMnr=186"/>
    <hyperlink ref="P13" r:id="rId4" display="http://www.konkoly.hu/cgi-bin/IBVS?5894"/>
    <hyperlink ref="P14" r:id="rId5" display="http://www.bav-astro.de/sfs/BAVM_link.php?BAVMnr=228"/>
    <hyperlink ref="P17" r:id="rId6" display="http://www.konkoly.hu/cgi-bin/IBVS?6063"/>
    <hyperlink ref="P18" r:id="rId7" display="http://www.konkoly.hu/cgi-bin/IBVS?6063"/>
    <hyperlink ref="P19" r:id="rId8" display="http://www.konkoly.hu/cgi-bin/IBVS?6063"/>
    <hyperlink ref="P11" r:id="rId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2024-02-19T06:57:35Z</dcterms:modified>
</cp:coreProperties>
</file>