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55DB7A7-3E30-4152-8ACD-CCDF6C146E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E30" i="1"/>
  <c r="F30" i="1"/>
  <c r="G30" i="1"/>
  <c r="K30" i="1"/>
  <c r="D9" i="1"/>
  <c r="C9" i="1"/>
  <c r="E28" i="1"/>
  <c r="F28" i="1"/>
  <c r="G28" i="1"/>
  <c r="J28" i="1"/>
  <c r="E29" i="1"/>
  <c r="F29" i="1"/>
  <c r="G29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Q30" i="1"/>
  <c r="G18" i="2"/>
  <c r="C18" i="2"/>
  <c r="E18" i="2"/>
  <c r="C21" i="1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22" i="1"/>
  <c r="Q23" i="1"/>
  <c r="Q24" i="1"/>
  <c r="Q25" i="1"/>
  <c r="Q26" i="1"/>
  <c r="E21" i="1"/>
  <c r="F21" i="1"/>
  <c r="G21" i="1"/>
  <c r="H21" i="1"/>
  <c r="Q27" i="1"/>
  <c r="Q28" i="1"/>
  <c r="K29" i="1"/>
  <c r="Q29" i="1"/>
  <c r="F16" i="1"/>
  <c r="C17" i="1"/>
  <c r="Q21" i="1"/>
  <c r="C12" i="1"/>
  <c r="C11" i="1"/>
  <c r="O22" i="1" l="1"/>
  <c r="O28" i="1"/>
  <c r="O29" i="1"/>
  <c r="O23" i="1"/>
  <c r="O25" i="1"/>
  <c r="O26" i="1"/>
  <c r="O21" i="1"/>
  <c r="O24" i="1"/>
  <c r="C15" i="1"/>
  <c r="F18" i="1" s="1"/>
  <c r="O27" i="1"/>
  <c r="O30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<sst xmlns="http://schemas.openxmlformats.org/spreadsheetml/2006/main" count="145" uniqueCount="100">
  <si>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</si>
  <si>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</si>
  <si>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</si>
  <si>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</si>
  <si>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</si>
  <si>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</si>
  <si>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</si>
  <si>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</si>
  <si>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</si>
  <si>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</si>
  <si>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</si>
  <si>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</si>
  <si>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</si>
  <si>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</si>
  <si>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</si>
  <si>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</si>
  <si>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</si>
  <si>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</si>
  <si>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</si>
  <si>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</si>
  <si>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</si>
  <si>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</si>
  <si>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</si>
  <si>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</si>
  <si>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</si>
  <si>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</si>
  <si>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</si>
  <si>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</si>
  <si>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</si>
  <si>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</si>
  <si>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</si>
  <si>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</si>
  <si>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</si>
  <si>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</si>
  <si>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</si>
  <si>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</si>
  <si>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</si>
  <si>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</si>
  <si>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</si>
  <si>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EZ Mon / na</t>
  </si>
  <si>
    <t>EW</t>
  </si>
  <si>
    <t>IBVS 6029</t>
  </si>
  <si>
    <t>I</t>
  </si>
  <si>
    <t>OEJV 0160</t>
  </si>
  <si>
    <t>IBVS 6048</t>
  </si>
  <si>
    <t>II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</si>
  <si>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</si>
  <si>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</si>
  <si>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</si>
  <si>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</si>
  <si>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</si>
  <si>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</si>
  <si>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</si>
  <si>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</si>
  <si>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</si>
  <si>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</si>
  <si>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</si>
  <si>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</si>
  <si>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2454509.4147 </t>
  </si>
  <si>
    <t> 12.02.2008 21:57 </t>
  </si>
  <si>
    <t> 0.0227 </t>
  </si>
  <si>
    <t>C </t>
  </si>
  <si>
    <t>-I</t>
  </si>
  <si>
    <t> G.Maintz </t>
  </si>
  <si>
    <t>BAVM 215 </t>
  </si>
  <si>
    <t>2454831.4146 </t>
  </si>
  <si>
    <t> 30.12.2008 21:57 </t>
  </si>
  <si>
    <t>75825.5</t>
  </si>
  <si>
    <t> 0.0254 </t>
  </si>
  <si>
    <t>2454852.4785 </t>
  </si>
  <si>
    <t> 20.01.2009 23:29 </t>
  </si>
  <si>
    <t>75881.5</t>
  </si>
  <si>
    <t> 0.0241 </t>
  </si>
  <si>
    <t>2454857.3714 </t>
  </si>
  <si>
    <t> 25.01.2009 20:54 </t>
  </si>
  <si>
    <t>75894.5</t>
  </si>
  <si>
    <t> 0.0268 </t>
  </si>
  <si>
    <t>2455595.4086 </t>
  </si>
  <si>
    <t> 02.02.2011 21:48 </t>
  </si>
  <si>
    <t>77856.5</t>
  </si>
  <si>
    <t> 0.0283 </t>
  </si>
  <si>
    <t>2455924.56401 </t>
  </si>
  <si>
    <t> 29.12.2011 01:32 </t>
  </si>
  <si>
    <t>78731.5</t>
  </si>
  <si>
    <t> 0.03931 </t>
  </si>
  <si>
    <t> M.Audejean </t>
  </si>
  <si>
    <t>OEJV 0160 </t>
  </si>
  <si>
    <t>2455970.4609 </t>
  </si>
  <si>
    <t> 12.02.2012 23:03 </t>
  </si>
  <si>
    <t>78853.5</t>
  </si>
  <si>
    <t> 0.0441 </t>
  </si>
  <si>
    <t> P.Frank </t>
  </si>
  <si>
    <t>BAVM 228 </t>
  </si>
  <si>
    <t>2455978.7344 </t>
  </si>
  <si>
    <t> 21.02.2012 05:37 </t>
  </si>
  <si>
    <t>78875.5</t>
  </si>
  <si>
    <t> 0.0419 </t>
  </si>
  <si>
    <t> R.Diethelm </t>
  </si>
  <si>
    <t>IBVS 6029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</si>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</sst>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EZ Mon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51-493E-81EF-B382B80B3C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51-493E-81EF-B382B80B3C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0.17597999999998137</c:v>
                </c:pt>
                <c:pt idx="2">
                  <c:v>0.17435999999725027</c:v>
                </c:pt>
                <c:pt idx="3">
                  <c:v>0.17274000000179512</c:v>
                </c:pt>
                <c:pt idx="4">
                  <c:v>0.17543000000296161</c:v>
                </c:pt>
                <c:pt idx="5">
                  <c:v>0.16709000000264496</c:v>
                </c:pt>
                <c:pt idx="7">
                  <c:v>0.1779000000024098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51-493E-81EF-B382B80B3C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0.17375000000174623</c:v>
                </c:pt>
                <c:pt idx="8">
                  <c:v>0.1756600000007893</c:v>
                </c:pt>
                <c:pt idx="9">
                  <c:v>0.17947000000276603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51-493E-81EF-B382B80B3C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51-493E-81EF-B382B80B3C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51-493E-81EF-B382B80B3C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51-493E-81EF-B382B80B3C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0.16924404030330414</c:v>
                </c:pt>
                <c:pt idx="1">
                  <c:v>0.17316558494469755</c:v>
                </c:pt>
                <c:pt idx="2">
                  <c:v>0.17364404022021535</c:v>
                </c:pt>
                <c:pt idx="3">
                  <c:v>0.17367534103263238</c:v>
                </c:pt>
                <c:pt idx="4">
                  <c:v>0.17368260729265778</c:v>
                </c:pt>
                <c:pt idx="5">
                  <c:v>0.17477925361341232</c:v>
                </c:pt>
                <c:pt idx="6">
                  <c:v>0.17526832880742874</c:v>
                </c:pt>
                <c:pt idx="7">
                  <c:v>0.1753365198630516</c:v>
                </c:pt>
                <c:pt idx="8">
                  <c:v>0.17534881661078688</c:v>
                </c:pt>
                <c:pt idx="9">
                  <c:v>0.17747950762746187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51-493E-81EF-B382B80B3C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51-493E-81EF-B382B80B3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10568"/>
        <c:axId val="1"/>
      </c:scatterChart>
      <c:valAx>
        <c:axId val="894710568"/>
        <c:scaling>
          <c:orientation val="minMax"/>
          <c:min val="5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10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EZ Mon - O-C Diagr.</a:t>
            </a:r>
          </a:p>
        </c:rich>
      </c:tx>
      <c:layout>
        <c:manualLayout>
          <c:xMode val="edge"/>
          <c:yMode val="edge"/>
          <c:x val="0.384385014936196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13994189017784567"/>
          <c:w val="0.8213225256348032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FF-486C-B4A9-C785A32A00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FF-486C-B4A9-C785A32A00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0.17597999999998137</c:v>
                </c:pt>
                <c:pt idx="2">
                  <c:v>0.17435999999725027</c:v>
                </c:pt>
                <c:pt idx="3">
                  <c:v>0.17274000000179512</c:v>
                </c:pt>
                <c:pt idx="4">
                  <c:v>0.17543000000296161</c:v>
                </c:pt>
                <c:pt idx="5">
                  <c:v>0.16709000000264496</c:v>
                </c:pt>
                <c:pt idx="7">
                  <c:v>0.1779000000024098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FF-486C-B4A9-C785A32A00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0.17375000000174623</c:v>
                </c:pt>
                <c:pt idx="8">
                  <c:v>0.1756600000007893</c:v>
                </c:pt>
                <c:pt idx="9">
                  <c:v>0.17947000000276603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FF-486C-B4A9-C785A32A00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FF-486C-B4A9-C785A32A00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FF-486C-B4A9-C785A32A00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1E-3</c:v>
                  </c:pt>
                  <c:pt idx="4">
                    <c:v>5.0000000000000001E-4</c:v>
                  </c:pt>
                  <c:pt idx="5">
                    <c:v>2E-3</c:v>
                  </c:pt>
                  <c:pt idx="6">
                    <c:v>5.0000000000000001E-4</c:v>
                  </c:pt>
                  <c:pt idx="7">
                    <c:v>1E-3</c:v>
                  </c:pt>
                  <c:pt idx="8">
                    <c:v>2.9999999999999997E-4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FF-486C-B4A9-C785A32A00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0.16924404030330414</c:v>
                </c:pt>
                <c:pt idx="1">
                  <c:v>0.17316558494469755</c:v>
                </c:pt>
                <c:pt idx="2">
                  <c:v>0.17364404022021535</c:v>
                </c:pt>
                <c:pt idx="3">
                  <c:v>0.17367534103263238</c:v>
                </c:pt>
                <c:pt idx="4">
                  <c:v>0.17368260729265778</c:v>
                </c:pt>
                <c:pt idx="5">
                  <c:v>0.17477925361341232</c:v>
                </c:pt>
                <c:pt idx="6">
                  <c:v>0.17526832880742874</c:v>
                </c:pt>
                <c:pt idx="7">
                  <c:v>0.1753365198630516</c:v>
                </c:pt>
                <c:pt idx="8">
                  <c:v>0.17534881661078688</c:v>
                </c:pt>
                <c:pt idx="9">
                  <c:v>0.17747950762746187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FF-486C-B4A9-C785A32A007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3508</c:v>
                </c:pt>
                <c:pt idx="2">
                  <c:v>3936</c:v>
                </c:pt>
                <c:pt idx="3">
                  <c:v>3964</c:v>
                </c:pt>
                <c:pt idx="4">
                  <c:v>3970.5</c:v>
                </c:pt>
                <c:pt idx="5">
                  <c:v>4951.5</c:v>
                </c:pt>
                <c:pt idx="6">
                  <c:v>5389</c:v>
                </c:pt>
                <c:pt idx="7">
                  <c:v>5450</c:v>
                </c:pt>
                <c:pt idx="8">
                  <c:v>5461</c:v>
                </c:pt>
                <c:pt idx="9">
                  <c:v>7367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FF-486C-B4A9-C785A32A0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23528"/>
        <c:axId val="1"/>
      </c:scatterChart>
      <c:valAx>
        <c:axId val="8947235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81521679165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2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21653149212203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41188D7F-584A-8D92-89BD-D03BCBB23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26</xdr:col>
      <xdr:colOff>428625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054FFF0-45A0-B5CC-4842-09607FC9D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215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ht="12.95" customHeight="1" x14ac:dyDescent="0.2">
      <c r="A2" t="s">
        <v>23</v>
      </c>
      <c r="B2" t="s">
        <v>40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6" ht="12.95" customHeight="1" thickTop="1" x14ac:dyDescent="0.2">
      <c r="A5" s="9" t="s">
        <v>28</v>
      </c>
      <c r="B5" s="10"/>
      <c r="C5" s="11">
        <v>-9.5</v>
      </c>
      <c r="D5" s="10" t="s">
        <v>29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49">
        <v>51870.03</v>
      </c>
      <c r="D7" s="29" t="s">
        <v>38</v>
      </c>
    </row>
    <row r="8" spans="1:6" ht="12.95" customHeight="1" x14ac:dyDescent="0.2">
      <c r="A8" t="s">
        <v>3</v>
      </c>
      <c r="C8" s="49">
        <v>0.75234000000000001</v>
      </c>
      <c r="D8" s="29" t="s">
        <v>38</v>
      </c>
    </row>
    <row r="9" spans="1:6" ht="12.95" customHeight="1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1">
        <f ca="1">INTERCEPT(INDIRECT($D$9):G992,INDIRECT($C$9):F992)</f>
        <v>0.16924404030330414</v>
      </c>
      <c r="D11" s="3"/>
      <c r="E11" s="10"/>
    </row>
    <row r="12" spans="1:6" ht="12.95" customHeight="1" x14ac:dyDescent="0.2">
      <c r="A12" s="10" t="s">
        <v>16</v>
      </c>
      <c r="B12" s="10"/>
      <c r="C12" s="21">
        <f ca="1">SLOPE(INDIRECT($D$9):G992,INDIRECT($C$9):F992)</f>
        <v>1.1178861577518279E-6</v>
      </c>
      <c r="D12" s="3"/>
      <c r="E12" s="10"/>
    </row>
    <row r="13" spans="1:6" ht="12.95" customHeight="1" x14ac:dyDescent="0.2">
      <c r="A13" s="10" t="s">
        <v>18</v>
      </c>
      <c r="B13" s="10"/>
      <c r="C13" s="3" t="s">
        <v>13</v>
      </c>
    </row>
    <row r="14" spans="1:6" ht="12.95" customHeight="1" x14ac:dyDescent="0.2">
      <c r="A14" s="10"/>
      <c r="B14" s="10"/>
      <c r="C14" s="10"/>
    </row>
    <row r="15" spans="1:6" ht="12.95" customHeight="1" x14ac:dyDescent="0.2">
      <c r="A15" s="12" t="s">
        <v>17</v>
      </c>
      <c r="B15" s="10"/>
      <c r="C15" s="13">
        <f ca="1">(C7+C11)+(C8+C12)*INT(MAX(F21:F3533))</f>
        <v>57412.696259507633</v>
      </c>
      <c r="E15" s="14" t="s">
        <v>34</v>
      </c>
      <c r="F15" s="11">
        <v>1</v>
      </c>
    </row>
    <row r="16" spans="1:6" ht="12.95" customHeight="1" x14ac:dyDescent="0.2">
      <c r="A16" s="16" t="s">
        <v>4</v>
      </c>
      <c r="B16" s="10"/>
      <c r="C16" s="17">
        <f ca="1">+C8+C12</f>
        <v>0.75234111788615776</v>
      </c>
      <c r="E16" s="14" t="s">
        <v>30</v>
      </c>
      <c r="F16" s="15">
        <f ca="1">NOW()+15018.5+$C$5/24</f>
        <v>60360.720379513885</v>
      </c>
    </row>
    <row r="17" spans="1:21" ht="12.95" customHeight="1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11286.5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57412.696259507633</v>
      </c>
      <c r="D18" s="20">
        <f ca="1">+C16</f>
        <v>0.75234111788615776</v>
      </c>
      <c r="E18" s="14" t="s">
        <v>36</v>
      </c>
      <c r="F18" s="23">
        <f ca="1">ROUND(2*(F16-$C$15)/$C$16,0)/2+F15</f>
        <v>3919.5</v>
      </c>
    </row>
    <row r="19" spans="1:21" ht="12.95" customHeight="1" thickTop="1" x14ac:dyDescent="0.2">
      <c r="E19" s="14" t="s">
        <v>31</v>
      </c>
      <c r="F19" s="18">
        <f ca="1">+$C$15+$C$16*F18-15018.5-$C$5/24</f>
        <v>45343.393104395764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 t="s">
        <v>38</v>
      </c>
      <c r="C21" s="8">
        <f>C7</f>
        <v>51870.03</v>
      </c>
      <c r="D21" s="8" t="s">
        <v>13</v>
      </c>
      <c r="E21">
        <f t="shared" ref="E21:E30" si="0">+(C21-C$7)/C$8</f>
        <v>0</v>
      </c>
      <c r="F21">
        <f t="shared" ref="F21:F30" si="1">ROUND(2*E21,0)/2</f>
        <v>0</v>
      </c>
      <c r="G21">
        <f t="shared" ref="G21:G30" si="2">+C21-(C$7+F21*C$8)</f>
        <v>0</v>
      </c>
      <c r="H21">
        <f>+G21</f>
        <v>0</v>
      </c>
      <c r="O21">
        <f t="shared" ref="O21:O30" ca="1" si="3">+C$11+C$12*$F21</f>
        <v>0.16924404030330414</v>
      </c>
      <c r="Q21" s="2">
        <f t="shared" ref="Q21:Q30" si="4">+C21-15018.5</f>
        <v>36851.53</v>
      </c>
    </row>
    <row r="22" spans="1:21" ht="12.95" customHeight="1" x14ac:dyDescent="0.2">
      <c r="A22" s="43" t="s">
        <v>46</v>
      </c>
      <c r="B22" s="43"/>
      <c r="C22" s="45">
        <v>54509.414700000001</v>
      </c>
      <c r="D22" s="45">
        <v>8.0000000000000004E-4</v>
      </c>
      <c r="E22">
        <f t="shared" si="0"/>
        <v>3508.2339102001783</v>
      </c>
      <c r="F22">
        <f t="shared" si="1"/>
        <v>3508</v>
      </c>
      <c r="G22">
        <f t="shared" si="2"/>
        <v>0.17597999999998137</v>
      </c>
      <c r="J22">
        <f>+G22</f>
        <v>0.17597999999998137</v>
      </c>
      <c r="O22">
        <f t="shared" ca="1" si="3"/>
        <v>0.17316558494469755</v>
      </c>
      <c r="Q22" s="2">
        <f t="shared" si="4"/>
        <v>39490.914700000001</v>
      </c>
    </row>
    <row r="23" spans="1:21" ht="12.95" customHeight="1" x14ac:dyDescent="0.2">
      <c r="A23" s="43" t="s">
        <v>46</v>
      </c>
      <c r="B23" s="43"/>
      <c r="C23" s="45">
        <v>54831.414599999996</v>
      </c>
      <c r="D23" s="45">
        <v>8.0000000000000004E-4</v>
      </c>
      <c r="E23">
        <f t="shared" si="0"/>
        <v>3936.2317569184115</v>
      </c>
      <c r="F23">
        <f t="shared" si="1"/>
        <v>3936</v>
      </c>
      <c r="G23">
        <f t="shared" si="2"/>
        <v>0.17435999999725027</v>
      </c>
      <c r="J23">
        <f>+G23</f>
        <v>0.17435999999725027</v>
      </c>
      <c r="O23">
        <f t="shared" ca="1" si="3"/>
        <v>0.17364404022021535</v>
      </c>
      <c r="Q23" s="2">
        <f t="shared" si="4"/>
        <v>39812.914599999996</v>
      </c>
    </row>
    <row r="24" spans="1:21" ht="12.95" customHeight="1" x14ac:dyDescent="0.2">
      <c r="A24" s="43" t="s">
        <v>46</v>
      </c>
      <c r="B24" s="43"/>
      <c r="C24" s="45">
        <v>54852.478499999997</v>
      </c>
      <c r="D24" s="45">
        <v>1E-3</v>
      </c>
      <c r="E24">
        <f t="shared" si="0"/>
        <v>3964.2296036366515</v>
      </c>
      <c r="F24">
        <f t="shared" si="1"/>
        <v>3964</v>
      </c>
      <c r="G24">
        <f t="shared" si="2"/>
        <v>0.17274000000179512</v>
      </c>
      <c r="J24">
        <f>+G24</f>
        <v>0.17274000000179512</v>
      </c>
      <c r="O24">
        <f t="shared" ca="1" si="3"/>
        <v>0.17367534103263238</v>
      </c>
      <c r="Q24" s="2">
        <f t="shared" si="4"/>
        <v>39833.978499999997</v>
      </c>
    </row>
    <row r="25" spans="1:21" ht="12.95" customHeight="1" x14ac:dyDescent="0.2">
      <c r="A25" s="43" t="s">
        <v>46</v>
      </c>
      <c r="B25" s="43"/>
      <c r="C25" s="45">
        <v>54857.371400000004</v>
      </c>
      <c r="D25" s="45">
        <v>5.0000000000000001E-4</v>
      </c>
      <c r="E25">
        <f t="shared" si="0"/>
        <v>3970.7331791477322</v>
      </c>
      <c r="F25">
        <f t="shared" si="1"/>
        <v>3970.5</v>
      </c>
      <c r="G25">
        <f t="shared" si="2"/>
        <v>0.17543000000296161</v>
      </c>
      <c r="J25">
        <f>+G25</f>
        <v>0.17543000000296161</v>
      </c>
      <c r="O25">
        <f t="shared" ca="1" si="3"/>
        <v>0.17368260729265778</v>
      </c>
      <c r="Q25" s="2">
        <f t="shared" si="4"/>
        <v>39838.871400000004</v>
      </c>
    </row>
    <row r="26" spans="1:21" ht="12.95" customHeight="1" x14ac:dyDescent="0.2">
      <c r="A26" s="43" t="s">
        <v>46</v>
      </c>
      <c r="B26" s="43"/>
      <c r="C26" s="45">
        <v>55595.408600000002</v>
      </c>
      <c r="D26" s="45">
        <v>2E-3</v>
      </c>
      <c r="E26">
        <f t="shared" si="0"/>
        <v>4951.7220937342208</v>
      </c>
      <c r="F26">
        <f t="shared" si="1"/>
        <v>4951.5</v>
      </c>
      <c r="G26">
        <f t="shared" si="2"/>
        <v>0.16709000000264496</v>
      </c>
      <c r="J26">
        <f>+G26</f>
        <v>0.16709000000264496</v>
      </c>
      <c r="O26">
        <f t="shared" ca="1" si="3"/>
        <v>0.17477925361341232</v>
      </c>
      <c r="Q26" s="2">
        <f t="shared" si="4"/>
        <v>40576.908600000002</v>
      </c>
    </row>
    <row r="27" spans="1:21" ht="12.95" customHeight="1" x14ac:dyDescent="0.2">
      <c r="A27" s="43" t="s">
        <v>43</v>
      </c>
      <c r="B27" s="44" t="s">
        <v>42</v>
      </c>
      <c r="C27" s="45">
        <v>55924.564010000002</v>
      </c>
      <c r="D27" s="45">
        <v>5.0000000000000001E-4</v>
      </c>
      <c r="E27">
        <f t="shared" si="0"/>
        <v>5389.2309461147925</v>
      </c>
      <c r="F27">
        <f t="shared" si="1"/>
        <v>5389</v>
      </c>
      <c r="G27">
        <f t="shared" si="2"/>
        <v>0.17375000000174623</v>
      </c>
      <c r="K27">
        <f>+G27</f>
        <v>0.17375000000174623</v>
      </c>
      <c r="O27">
        <f t="shared" ca="1" si="3"/>
        <v>0.17526832880742874</v>
      </c>
      <c r="Q27" s="2">
        <f t="shared" si="4"/>
        <v>40906.064010000002</v>
      </c>
    </row>
    <row r="28" spans="1:21" ht="12.95" customHeight="1" x14ac:dyDescent="0.2">
      <c r="A28" s="43" t="s">
        <v>44</v>
      </c>
      <c r="B28" s="44" t="s">
        <v>45</v>
      </c>
      <c r="C28" s="45">
        <v>55970.460899999998</v>
      </c>
      <c r="D28" s="45">
        <v>1E-3</v>
      </c>
      <c r="E28">
        <f t="shared" si="0"/>
        <v>5450.2364622378172</v>
      </c>
      <c r="F28">
        <f t="shared" si="1"/>
        <v>5450</v>
      </c>
      <c r="G28">
        <f t="shared" si="2"/>
        <v>0.1779000000024098</v>
      </c>
      <c r="J28">
        <f>+G28</f>
        <v>0.1779000000024098</v>
      </c>
      <c r="O28">
        <f t="shared" ca="1" si="3"/>
        <v>0.1753365198630516</v>
      </c>
      <c r="Q28" s="2">
        <f t="shared" si="4"/>
        <v>40951.960899999998</v>
      </c>
    </row>
    <row r="29" spans="1:21" ht="12.95" customHeight="1" x14ac:dyDescent="0.2">
      <c r="A29" s="45" t="s">
        <v>41</v>
      </c>
      <c r="B29" s="44" t="s">
        <v>42</v>
      </c>
      <c r="C29" s="45">
        <v>55978.734400000001</v>
      </c>
      <c r="D29" s="45">
        <v>2.9999999999999997E-4</v>
      </c>
      <c r="E29">
        <f t="shared" si="0"/>
        <v>5461.2334848605715</v>
      </c>
      <c r="F29">
        <f t="shared" si="1"/>
        <v>5461</v>
      </c>
      <c r="G29">
        <f t="shared" si="2"/>
        <v>0.1756600000007893</v>
      </c>
      <c r="K29">
        <f>+G29</f>
        <v>0.1756600000007893</v>
      </c>
      <c r="O29">
        <f t="shared" ca="1" si="3"/>
        <v>0.17534881661078688</v>
      </c>
      <c r="Q29" s="2">
        <f t="shared" si="4"/>
        <v>40960.234400000001</v>
      </c>
    </row>
    <row r="30" spans="1:21" ht="12.95" customHeight="1" x14ac:dyDescent="0.2">
      <c r="A30" s="46" t="s">
        <v>99</v>
      </c>
      <c r="B30" s="47" t="s">
        <v>42</v>
      </c>
      <c r="C30" s="48">
        <v>57412.698250000001</v>
      </c>
      <c r="D30" s="48">
        <v>2.0000000000000001E-4</v>
      </c>
      <c r="E30">
        <f t="shared" si="0"/>
        <v>7367.2385490602683</v>
      </c>
      <c r="F30">
        <f t="shared" si="1"/>
        <v>7367</v>
      </c>
      <c r="G30">
        <f t="shared" si="2"/>
        <v>0.17947000000276603</v>
      </c>
      <c r="K30">
        <f>+G30</f>
        <v>0.17947000000276603</v>
      </c>
      <c r="O30">
        <f t="shared" ca="1" si="3"/>
        <v>0.17747950762746187</v>
      </c>
      <c r="Q30" s="2">
        <f t="shared" si="4"/>
        <v>42394.198250000001</v>
      </c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6"/>
  <sheetViews>
    <sheetView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0" t="s">
        <v>47</v>
      </c>
      <c r="I1" s="31" t="s">
        <v>48</v>
      </c>
      <c r="J1" s="32" t="s">
        <v>49</v>
      </c>
    </row>
    <row r="2" spans="1:16" x14ac:dyDescent="0.2">
      <c r="I2" s="33" t="s">
        <v>50</v>
      </c>
      <c r="J2" s="34" t="s">
        <v>51</v>
      </c>
    </row>
    <row r="3" spans="1:16" x14ac:dyDescent="0.2">
      <c r="A3" s="35" t="s">
        <v>52</v>
      </c>
      <c r="I3" s="33" t="s">
        <v>53</v>
      </c>
      <c r="J3" s="34" t="s">
        <v>54</v>
      </c>
    </row>
    <row r="4" spans="1:16" x14ac:dyDescent="0.2">
      <c r="I4" s="33" t="s">
        <v>55</v>
      </c>
      <c r="J4" s="34" t="s">
        <v>54</v>
      </c>
    </row>
    <row r="5" spans="1:16" ht="13.5" thickBot="1" x14ac:dyDescent="0.25">
      <c r="I5" s="36" t="s">
        <v>56</v>
      </c>
      <c r="J5" s="37" t="s">
        <v>57</v>
      </c>
    </row>
    <row r="10" spans="1:16" ht="13.5" thickBot="1" x14ac:dyDescent="0.25"/>
    <row r="11" spans="1:16" ht="12.75" customHeight="1" thickBot="1" x14ac:dyDescent="0.25">
      <c r="A11" s="8" t="str">
        <f t="shared" ref="A11:A18" si="0">P11</f>
        <v>BAVM 215 </v>
      </c>
      <c r="B11" s="3" t="str">
        <f t="shared" ref="B11:B18" si="1">IF(H11=INT(H11),"I","II")</f>
        <v>II</v>
      </c>
      <c r="C11" s="8">
        <f t="shared" ref="C11:C18" si="2">1*G11</f>
        <v>54509.414700000001</v>
      </c>
      <c r="D11" s="10" t="str">
        <f t="shared" ref="D11:D18" si="3">VLOOKUP(F11,I$1:J$5,2,FALSE)</f>
        <v>vis</v>
      </c>
      <c r="E11" s="38">
        <f>VLOOKUP(C11,Active!C$21:E$973,3,FALSE)</f>
        <v>3508.2339102001783</v>
      </c>
      <c r="F11" s="3" t="s">
        <v>56</v>
      </c>
      <c r="G11" s="10" t="str">
        <f t="shared" ref="G11:G18" si="4">MID(I11,3,LEN(I11)-3)</f>
        <v>54509.4147</v>
      </c>
      <c r="H11" s="8">
        <f t="shared" ref="H11:H18" si="5">1*K11</f>
        <v>74969.5</v>
      </c>
      <c r="I11" s="39" t="s">
        <v>58</v>
      </c>
      <c r="J11" s="40" t="s">
        <v>59</v>
      </c>
      <c r="K11" s="39">
        <v>74969.5</v>
      </c>
      <c r="L11" s="39" t="s">
        <v>60</v>
      </c>
      <c r="M11" s="40" t="s">
        <v>61</v>
      </c>
      <c r="N11" s="40" t="s">
        <v>62</v>
      </c>
      <c r="O11" s="41" t="s">
        <v>63</v>
      </c>
      <c r="P11" s="42" t="s">
        <v>64</v>
      </c>
    </row>
    <row r="12" spans="1:16" ht="12.75" customHeight="1" thickBot="1" x14ac:dyDescent="0.25">
      <c r="A12" s="8" t="str">
        <f t="shared" si="0"/>
        <v>BAVM 215 </v>
      </c>
      <c r="B12" s="3" t="str">
        <f t="shared" si="1"/>
        <v>II</v>
      </c>
      <c r="C12" s="8">
        <f t="shared" si="2"/>
        <v>54831.414599999996</v>
      </c>
      <c r="D12" s="10" t="str">
        <f t="shared" si="3"/>
        <v>vis</v>
      </c>
      <c r="E12" s="38">
        <f>VLOOKUP(C12,Active!C$21:E$973,3,FALSE)</f>
        <v>3936.2317569184115</v>
      </c>
      <c r="F12" s="3" t="s">
        <v>56</v>
      </c>
      <c r="G12" s="10" t="str">
        <f t="shared" si="4"/>
        <v>54831.4146</v>
      </c>
      <c r="H12" s="8">
        <f t="shared" si="5"/>
        <v>75825.5</v>
      </c>
      <c r="I12" s="39" t="s">
        <v>65</v>
      </c>
      <c r="J12" s="40" t="s">
        <v>66</v>
      </c>
      <c r="K12" s="39" t="s">
        <v>67</v>
      </c>
      <c r="L12" s="39" t="s">
        <v>68</v>
      </c>
      <c r="M12" s="40" t="s">
        <v>61</v>
      </c>
      <c r="N12" s="40" t="s">
        <v>62</v>
      </c>
      <c r="O12" s="41" t="s">
        <v>63</v>
      </c>
      <c r="P12" s="42" t="s">
        <v>64</v>
      </c>
    </row>
    <row r="13" spans="1:16" ht="12.75" customHeight="1" thickBot="1" x14ac:dyDescent="0.25">
      <c r="A13" s="8" t="str">
        <f t="shared" si="0"/>
        <v>BAVM 215 </v>
      </c>
      <c r="B13" s="3" t="str">
        <f t="shared" si="1"/>
        <v>II</v>
      </c>
      <c r="C13" s="8">
        <f t="shared" si="2"/>
        <v>54852.478499999997</v>
      </c>
      <c r="D13" s="10" t="str">
        <f t="shared" si="3"/>
        <v>vis</v>
      </c>
      <c r="E13" s="38">
        <f>VLOOKUP(C13,Active!C$21:E$973,3,FALSE)</f>
        <v>3964.2296036366515</v>
      </c>
      <c r="F13" s="3" t="s">
        <v>56</v>
      </c>
      <c r="G13" s="10" t="str">
        <f t="shared" si="4"/>
        <v>54852.4785</v>
      </c>
      <c r="H13" s="8">
        <f t="shared" si="5"/>
        <v>75881.5</v>
      </c>
      <c r="I13" s="39" t="s">
        <v>69</v>
      </c>
      <c r="J13" s="40" t="s">
        <v>70</v>
      </c>
      <c r="K13" s="39" t="s">
        <v>71</v>
      </c>
      <c r="L13" s="39" t="s">
        <v>72</v>
      </c>
      <c r="M13" s="40" t="s">
        <v>61</v>
      </c>
      <c r="N13" s="40" t="s">
        <v>62</v>
      </c>
      <c r="O13" s="41" t="s">
        <v>63</v>
      </c>
      <c r="P13" s="42" t="s">
        <v>64</v>
      </c>
    </row>
    <row r="14" spans="1:16" ht="12.75" customHeight="1" thickBot="1" x14ac:dyDescent="0.25">
      <c r="A14" s="8" t="str">
        <f t="shared" si="0"/>
        <v>BAVM 215 </v>
      </c>
      <c r="B14" s="3" t="str">
        <f t="shared" si="1"/>
        <v>II</v>
      </c>
      <c r="C14" s="8">
        <f t="shared" si="2"/>
        <v>54857.371400000004</v>
      </c>
      <c r="D14" s="10" t="str">
        <f t="shared" si="3"/>
        <v>vis</v>
      </c>
      <c r="E14" s="38">
        <f>VLOOKUP(C14,Active!C$21:E$973,3,FALSE)</f>
        <v>3970.7331791477322</v>
      </c>
      <c r="F14" s="3" t="s">
        <v>56</v>
      </c>
      <c r="G14" s="10" t="str">
        <f t="shared" si="4"/>
        <v>54857.3714</v>
      </c>
      <c r="H14" s="8">
        <f t="shared" si="5"/>
        <v>75894.5</v>
      </c>
      <c r="I14" s="39" t="s">
        <v>73</v>
      </c>
      <c r="J14" s="40" t="s">
        <v>74</v>
      </c>
      <c r="K14" s="39" t="s">
        <v>75</v>
      </c>
      <c r="L14" s="39" t="s">
        <v>76</v>
      </c>
      <c r="M14" s="40" t="s">
        <v>61</v>
      </c>
      <c r="N14" s="40" t="s">
        <v>62</v>
      </c>
      <c r="O14" s="41" t="s">
        <v>63</v>
      </c>
      <c r="P14" s="42" t="s">
        <v>64</v>
      </c>
    </row>
    <row r="15" spans="1:16" ht="12.75" customHeight="1" thickBot="1" x14ac:dyDescent="0.25">
      <c r="A15" s="8" t="str">
        <f t="shared" si="0"/>
        <v>BAVM 215 </v>
      </c>
      <c r="B15" s="3" t="str">
        <f t="shared" si="1"/>
        <v>II</v>
      </c>
      <c r="C15" s="8">
        <f t="shared" si="2"/>
        <v>55595.408600000002</v>
      </c>
      <c r="D15" s="10" t="str">
        <f t="shared" si="3"/>
        <v>vis</v>
      </c>
      <c r="E15" s="38">
        <f>VLOOKUP(C15,Active!C$21:E$973,3,FALSE)</f>
        <v>4951.7220937342208</v>
      </c>
      <c r="F15" s="3" t="s">
        <v>56</v>
      </c>
      <c r="G15" s="10" t="str">
        <f t="shared" si="4"/>
        <v>55595.4086</v>
      </c>
      <c r="H15" s="8">
        <f t="shared" si="5"/>
        <v>77856.5</v>
      </c>
      <c r="I15" s="39" t="s">
        <v>77</v>
      </c>
      <c r="J15" s="40" t="s">
        <v>78</v>
      </c>
      <c r="K15" s="39" t="s">
        <v>79</v>
      </c>
      <c r="L15" s="39" t="s">
        <v>80</v>
      </c>
      <c r="M15" s="40" t="s">
        <v>61</v>
      </c>
      <c r="N15" s="40" t="s">
        <v>62</v>
      </c>
      <c r="O15" s="41" t="s">
        <v>63</v>
      </c>
      <c r="P15" s="42" t="s">
        <v>64</v>
      </c>
    </row>
    <row r="16" spans="1:16" ht="12.75" customHeight="1" thickBot="1" x14ac:dyDescent="0.25">
      <c r="A16" s="8" t="str">
        <f t="shared" si="0"/>
        <v>OEJV 0160 </v>
      </c>
      <c r="B16" s="3" t="str">
        <f t="shared" si="1"/>
        <v>II</v>
      </c>
      <c r="C16" s="8">
        <f t="shared" si="2"/>
        <v>55924.564010000002</v>
      </c>
      <c r="D16" s="10" t="str">
        <f t="shared" si="3"/>
        <v>vis</v>
      </c>
      <c r="E16" s="38">
        <f>VLOOKUP(C16,Active!C$21:E$973,3,FALSE)</f>
        <v>5389.2309461147925</v>
      </c>
      <c r="F16" s="3" t="s">
        <v>56</v>
      </c>
      <c r="G16" s="10" t="str">
        <f t="shared" si="4"/>
        <v>55924.56401</v>
      </c>
      <c r="H16" s="8">
        <f t="shared" si="5"/>
        <v>78731.5</v>
      </c>
      <c r="I16" s="39" t="s">
        <v>81</v>
      </c>
      <c r="J16" s="40" t="s">
        <v>82</v>
      </c>
      <c r="K16" s="39" t="s">
        <v>83</v>
      </c>
      <c r="L16" s="39" t="s">
        <v>84</v>
      </c>
      <c r="M16" s="40" t="s">
        <v>61</v>
      </c>
      <c r="N16" s="40" t="s">
        <v>48</v>
      </c>
      <c r="O16" s="41" t="s">
        <v>85</v>
      </c>
      <c r="P16" s="42" t="s">
        <v>86</v>
      </c>
    </row>
    <row r="17" spans="1:16" ht="12.75" customHeight="1" thickBot="1" x14ac:dyDescent="0.25">
      <c r="A17" s="8" t="str">
        <f t="shared" si="0"/>
        <v>BAVM 228 </v>
      </c>
      <c r="B17" s="3" t="str">
        <f t="shared" si="1"/>
        <v>II</v>
      </c>
      <c r="C17" s="8">
        <f t="shared" si="2"/>
        <v>55970.460899999998</v>
      </c>
      <c r="D17" s="10" t="str">
        <f t="shared" si="3"/>
        <v>vis</v>
      </c>
      <c r="E17" s="38">
        <f>VLOOKUP(C17,Active!C$21:E$973,3,FALSE)</f>
        <v>5450.2364622378172</v>
      </c>
      <c r="F17" s="3" t="s">
        <v>56</v>
      </c>
      <c r="G17" s="10" t="str">
        <f t="shared" si="4"/>
        <v>55970.4609</v>
      </c>
      <c r="H17" s="8">
        <f t="shared" si="5"/>
        <v>78853.5</v>
      </c>
      <c r="I17" s="39" t="s">
        <v>87</v>
      </c>
      <c r="J17" s="40" t="s">
        <v>88</v>
      </c>
      <c r="K17" s="39" t="s">
        <v>89</v>
      </c>
      <c r="L17" s="39" t="s">
        <v>90</v>
      </c>
      <c r="M17" s="40" t="s">
        <v>61</v>
      </c>
      <c r="N17" s="40" t="s">
        <v>62</v>
      </c>
      <c r="O17" s="41" t="s">
        <v>91</v>
      </c>
      <c r="P17" s="42" t="s">
        <v>92</v>
      </c>
    </row>
    <row r="18" spans="1:16" ht="12.75" customHeight="1" thickBot="1" x14ac:dyDescent="0.25">
      <c r="A18" s="8" t="str">
        <f t="shared" si="0"/>
        <v>IBVS 6029 </v>
      </c>
      <c r="B18" s="3" t="str">
        <f t="shared" si="1"/>
        <v>II</v>
      </c>
      <c r="C18" s="8">
        <f t="shared" si="2"/>
        <v>55978.734400000001</v>
      </c>
      <c r="D18" s="10" t="str">
        <f t="shared" si="3"/>
        <v>vis</v>
      </c>
      <c r="E18" s="38">
        <f>VLOOKUP(C18,Active!C$21:E$973,3,FALSE)</f>
        <v>5461.2334848605715</v>
      </c>
      <c r="F18" s="3" t="s">
        <v>56</v>
      </c>
      <c r="G18" s="10" t="str">
        <f t="shared" si="4"/>
        <v>55978.7344</v>
      </c>
      <c r="H18" s="8">
        <f t="shared" si="5"/>
        <v>78875.5</v>
      </c>
      <c r="I18" s="39" t="s">
        <v>93</v>
      </c>
      <c r="J18" s="40" t="s">
        <v>94</v>
      </c>
      <c r="K18" s="39" t="s">
        <v>95</v>
      </c>
      <c r="L18" s="39" t="s">
        <v>96</v>
      </c>
      <c r="M18" s="40" t="s">
        <v>61</v>
      </c>
      <c r="N18" s="40" t="s">
        <v>56</v>
      </c>
      <c r="O18" s="41" t="s">
        <v>97</v>
      </c>
      <c r="P18" s="42" t="s">
        <v>98</v>
      </c>
    </row>
    <row r="19" spans="1:16" x14ac:dyDescent="0.2">
      <c r="B19" s="3"/>
      <c r="E19" s="38"/>
      <c r="F19" s="3"/>
    </row>
    <row r="20" spans="1:16" x14ac:dyDescent="0.2">
      <c r="B20" s="3"/>
      <c r="E20" s="38"/>
      <c r="F20" s="3"/>
    </row>
    <row r="21" spans="1:16" x14ac:dyDescent="0.2">
      <c r="B21" s="3"/>
      <c r="E21" s="38"/>
      <c r="F21" s="3"/>
    </row>
    <row r="22" spans="1:16" x14ac:dyDescent="0.2">
      <c r="B22" s="3"/>
      <c r="E22" s="38"/>
      <c r="F22" s="3"/>
    </row>
    <row r="23" spans="1:16" x14ac:dyDescent="0.2">
      <c r="B23" s="3"/>
      <c r="E23" s="38"/>
      <c r="F23" s="3"/>
    </row>
    <row r="24" spans="1:16" x14ac:dyDescent="0.2">
      <c r="B24" s="3"/>
      <c r="E24" s="38"/>
      <c r="F24" s="3"/>
    </row>
    <row r="25" spans="1:16" x14ac:dyDescent="0.2">
      <c r="B25" s="3"/>
      <c r="E25" s="38"/>
      <c r="F25" s="3"/>
    </row>
    <row r="26" spans="1:16" x14ac:dyDescent="0.2">
      <c r="B26" s="3"/>
      <c r="E26" s="38"/>
      <c r="F26" s="3"/>
    </row>
    <row r="27" spans="1:16" x14ac:dyDescent="0.2">
      <c r="B27" s="3"/>
      <c r="E27" s="38"/>
      <c r="F27" s="3"/>
    </row>
    <row r="28" spans="1:16" x14ac:dyDescent="0.2">
      <c r="B28" s="3"/>
      <c r="E28" s="38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</sheetData>
  <phoneticPr fontId="7" type="noConversion"/>
  <hyperlinks>
    <hyperlink ref="P11" r:id="rId1" display="http://www.bav-astro.de/sfs/BAVM_link.php?BAVMnr=215"/>
    <hyperlink ref="P12" r:id="rId2" display="http://www.bav-astro.de/sfs/BAVM_link.php?BAVMnr=215"/>
    <hyperlink ref="P13" r:id="rId3" display="http://www.bav-astro.de/sfs/BAVM_link.php?BAVMnr=215"/>
    <hyperlink ref="P14" r:id="rId4" display="http://www.bav-astro.de/sfs/BAVM_link.php?BAVMnr=215"/>
    <hyperlink ref="P15" r:id="rId5" display="http://www.bav-astro.de/sfs/BAVM_link.php?BAVMnr=215"/>
    <hyperlink ref="P16" r:id="rId6" display="http://var.astro.cz/oejv/issues/oejv0160.pdf"/>
    <hyperlink ref="P17" r:id="rId7" display="http://www.bav-astro.de/sfs/BAVM_link.php?BAVMnr=228"/>
    <hyperlink ref="P18" r:id="rId8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2024-02-20T04:17:20Z</dcterms:modified>
</cp:coreProperties>
</file>