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77E57C3-8B6F-46EA-9AEC-2071F2EA47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I22" i="1" l="1"/>
  <c r="I23" i="1"/>
  <c r="I24" i="1"/>
  <c r="I26" i="1"/>
  <c r="I27" i="1"/>
  <c r="I28" i="1"/>
  <c r="I29" i="1"/>
  <c r="I30" i="1"/>
  <c r="I21" i="1"/>
  <c r="F13" i="1"/>
  <c r="F15" i="1" s="1"/>
  <c r="F16" i="1" s="1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E31" i="1"/>
  <c r="F31" i="1"/>
  <c r="G31" i="1"/>
  <c r="J31" i="1"/>
  <c r="Q31" i="1"/>
  <c r="D15" i="1"/>
  <c r="E22" i="1"/>
  <c r="F22" i="1"/>
  <c r="G22" i="1"/>
  <c r="E23" i="1"/>
  <c r="F23" i="1"/>
  <c r="G23" i="1"/>
  <c r="E24" i="1"/>
  <c r="F24" i="1"/>
  <c r="G24" i="1"/>
  <c r="E25" i="1"/>
  <c r="F25" i="1"/>
  <c r="G25" i="1"/>
  <c r="H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21" i="1"/>
  <c r="F21" i="1"/>
  <c r="G21" i="1"/>
  <c r="Q22" i="1"/>
  <c r="Q23" i="1"/>
  <c r="Q24" i="1"/>
  <c r="Q26" i="1"/>
  <c r="Q27" i="1"/>
  <c r="Q28" i="1"/>
  <c r="Q29" i="1"/>
  <c r="Q30" i="1"/>
  <c r="C25" i="1"/>
  <c r="Q25" i="1"/>
  <c r="C17" i="1"/>
  <c r="Q21" i="1"/>
  <c r="D16" i="1"/>
  <c r="C12" i="1"/>
  <c r="C16" i="1"/>
  <c r="D18" i="1"/>
  <c r="C11" i="1"/>
  <c r="O25" i="1"/>
  <c r="O28" i="1"/>
  <c r="O23" i="1"/>
  <c r="O26" i="1"/>
  <c r="O22" i="1"/>
  <c r="O31" i="1"/>
  <c r="O29" i="1"/>
  <c r="C15" i="1"/>
  <c r="C18" i="1"/>
  <c r="O27" i="1"/>
  <c r="O30" i="1"/>
  <c r="O24" i="1"/>
  <c r="O21" i="1"/>
  <c r="F14" i="1" l="1"/>
</calcChain>
</file>

<file path=xl/sharedStrings.xml><?xml version="1.0" encoding="utf-8"?>
<sst xmlns="http://schemas.openxmlformats.org/spreadsheetml/2006/main" count="133" uniqueCount="104">
  <si>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</si>
  <si>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</si>
  <si>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</si>
  <si>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</si>
  <si>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</si>
  <si>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</si>
  <si>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</si>
  <si>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</si>
  <si>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</si>
  <si>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</si>
  <si>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</si>
  <si>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</si>
  <si>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</si>
  <si>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</si>
  <si>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</si>
  <si>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</si>
  <si>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</si>
  <si>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</si>
  <si>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</si>
  <si>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</si>
  <si>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</si>
  <si>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</si>
  <si>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</si>
  <si>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</si>
  <si>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</si>
  <si>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</si>
  <si>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</si>
  <si>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</si>
  <si>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</si>
  <si>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</si>
  <si>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# of data points:</t>
  </si>
  <si>
    <t>EA/SD</t>
  </si>
  <si>
    <t>O.Morgenroth AN 249.387</t>
  </si>
  <si>
    <t>S.Piotrowski AA 27.154</t>
  </si>
  <si>
    <t>K.Kordylewski SAC 18.62</t>
  </si>
  <si>
    <t>N.E.Kurochkin PZ 6.311</t>
  </si>
  <si>
    <t>K.Kordylewski AA 27.154</t>
  </si>
  <si>
    <t>ROTSE (noisy data)</t>
  </si>
  <si>
    <t>I</t>
  </si>
  <si>
    <t>R.Diethelm BBS 127</t>
  </si>
  <si>
    <t>FV Mon / gsc 0747-0915?</t>
  </si>
  <si>
    <t>IBVS 5690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</si>
  <si>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</si>
  <si>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</si>
  <si>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</si>
  <si>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</si>
  <si>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</si>
  <si>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</si>
  <si>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</si>
  <si>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</si>
  <si>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</si>
  <si>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</si>
  <si>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</si>
  <si>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2426355.351 </t>
  </si>
  <si>
    <t> 13.01.1931 20:25 </t>
  </si>
  <si>
    <t> -0.058 </t>
  </si>
  <si>
    <t>P </t>
  </si>
  <si>
    <t> O.Morgenroth </t>
  </si>
  <si>
    <t> AN 249.387 </t>
  </si>
  <si>
    <t>2426769.332 </t>
  </si>
  <si>
    <t> 02.03.1932 19:58 </t>
  </si>
  <si>
    <t> 0.389 </t>
  </si>
  <si>
    <t>2427453.24 </t>
  </si>
  <si>
    <t> 15.01.1934 17:45 </t>
  </si>
  <si>
    <t> 0.09 </t>
  </si>
  <si>
    <t>V </t>
  </si>
  <si>
    <t> S.Piotrowski </t>
  </si>
  <si>
    <t> AA 27.154 </t>
  </si>
  <si>
    <t>2428543.35 </t>
  </si>
  <si>
    <t> 09.01.1937 20:24 </t>
  </si>
  <si>
    <t> -0.03 </t>
  </si>
  <si>
    <t> K.Kordylewski </t>
  </si>
  <si>
    <t> SAC 18.62 </t>
  </si>
  <si>
    <t>2429310.30 </t>
  </si>
  <si>
    <t> 15.02.1939 19:12 </t>
  </si>
  <si>
    <t> 0.00 </t>
  </si>
  <si>
    <t> N.E.Kurochkin </t>
  </si>
  <si>
    <t> PZ 6.311 </t>
  </si>
  <si>
    <t>2429588.53 </t>
  </si>
  <si>
    <t> 21.11.1939 00:43 </t>
  </si>
  <si>
    <t> 0.04 </t>
  </si>
  <si>
    <t>2430468.27 </t>
  </si>
  <si>
    <t> 18.04.1942 18:28 </t>
  </si>
  <si>
    <t> 0.08 </t>
  </si>
  <si>
    <t>2452310.25 </t>
  </si>
  <si>
    <t> 04.02.2002 18:00 </t>
  </si>
  <si>
    <t> -0.06 </t>
  </si>
  <si>
    <t>E </t>
  </si>
  <si>
    <t>?</t>
  </si>
  <si>
    <t> R.Diethelm </t>
  </si>
  <si>
    <t> BBS 127 </t>
  </si>
  <si>
    <t>2453377.7700 </t>
  </si>
  <si>
    <t> 07.01.2005 06:28 </t>
  </si>
  <si>
    <t> -0.206 </t>
  </si>
  <si>
    <t> T. Krajci </t>
  </si>
  <si>
    <t>IBVS 5690 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</si>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</sst>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172" fontId="0" fillId="0" borderId="0" xfId="0" applyNumberFormat="1" applyAlignment="1"/>
    <xf numFmtId="173" fontId="0" fillId="0" borderId="0" xfId="0" applyNumberFormat="1" applyAlignment="1"/>
    <xf numFmtId="172" fontId="0" fillId="0" borderId="0" xfId="0" applyNumberForma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72" fontId="5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3" fillId="2" borderId="11" xfId="7" applyFill="1" applyBorder="1" applyAlignment="1" applyProtection="1">
      <alignment horizontal="right" vertical="top" wrapText="1"/>
    </xf>
    <xf numFmtId="0" fontId="11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6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FV Mon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239101814214754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8-46ED-A74F-C1D1592E7D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-6.8131539002934005E-2</c:v>
                </c:pt>
                <c:pt idx="1">
                  <c:v>0.3807455559981463</c:v>
                </c:pt>
                <c:pt idx="2">
                  <c:v>8.1051295001088874E-2</c:v>
                </c:pt>
                <c:pt idx="3">
                  <c:v>-3.0000000002473826E-2</c:v>
                </c:pt>
                <c:pt idx="5">
                  <c:v>5.8811579983739648E-3</c:v>
                </c:pt>
                <c:pt idx="6">
                  <c:v>4.154393099815934E-2</c:v>
                </c:pt>
                <c:pt idx="7">
                  <c:v>8.5937023999576923E-2</c:v>
                </c:pt>
                <c:pt idx="8">
                  <c:v>9.3540224996104371E-2</c:v>
                </c:pt>
                <c:pt idx="9">
                  <c:v>5.108176899375394E-2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8-46ED-A74F-C1D1592E7D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0">
                  <c:v>-9.3671913004072849E-2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88-46ED-A74F-C1D1592E7D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88-46ED-A74F-C1D1592E7D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88-46ED-A74F-C1D1592E7D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88-46ED-A74F-C1D1592E7D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88-46ED-A74F-C1D1592E7D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-291</c:v>
                </c:pt>
                <c:pt idx="1">
                  <c:v>-236</c:v>
                </c:pt>
                <c:pt idx="2">
                  <c:v>-145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139</c:v>
                </c:pt>
                <c:pt idx="7">
                  <c:v>256</c:v>
                </c:pt>
                <c:pt idx="8">
                  <c:v>3025</c:v>
                </c:pt>
                <c:pt idx="9">
                  <c:v>3161</c:v>
                </c:pt>
                <c:pt idx="10">
                  <c:v>3303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6.9217410554774983E-2</c:v>
                </c:pt>
                <c:pt idx="1">
                  <c:v>6.8279514385620049E-2</c:v>
                </c:pt>
                <c:pt idx="2">
                  <c:v>6.6727722542109139E-2</c:v>
                </c:pt>
                <c:pt idx="3">
                  <c:v>6.4255087187064297E-2</c:v>
                </c:pt>
                <c:pt idx="4">
                  <c:v>6.4255087187064297E-2</c:v>
                </c:pt>
                <c:pt idx="5">
                  <c:v>6.2515716109722411E-2</c:v>
                </c:pt>
                <c:pt idx="6">
                  <c:v>6.1884767777745445E-2</c:v>
                </c:pt>
                <c:pt idx="7">
                  <c:v>5.9889606836088564E-2</c:v>
                </c:pt>
                <c:pt idx="8">
                  <c:v>1.2670797883542487E-2</c:v>
                </c:pt>
                <c:pt idx="9">
                  <c:v>1.0351636447086629E-2</c:v>
                </c:pt>
                <c:pt idx="10">
                  <c:v>7.9301590649047821E-3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88-46ED-A74F-C1D1592E7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09848"/>
        <c:axId val="1"/>
      </c:scatterChart>
      <c:valAx>
        <c:axId val="894709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09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01470918719973"/>
          <c:y val="0.9204921861831491"/>
          <c:w val="0.746365613829773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16</xdr:col>
      <xdr:colOff>514350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4216FC-E96E-B5C3-B5A1-373E05C0F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23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  <c r="B1" s="1"/>
    </row>
    <row r="2" spans="1:6" ht="12.95" customHeight="1" x14ac:dyDescent="0.2">
      <c r="A2" t="s">
        <v>25</v>
      </c>
      <c r="B2" t="s">
        <v>31</v>
      </c>
    </row>
    <row r="3" spans="1:6" ht="12.95" customHeight="1" thickBot="1" x14ac:dyDescent="0.25"/>
    <row r="4" spans="1:6" ht="12.95" customHeight="1" thickTop="1" thickBot="1" x14ac:dyDescent="0.25">
      <c r="A4" s="8" t="s">
        <v>0</v>
      </c>
      <c r="B4" s="8"/>
      <c r="C4" s="4">
        <v>28543.38</v>
      </c>
      <c r="D4" s="5">
        <v>7.5187999999999997</v>
      </c>
    </row>
    <row r="5" spans="1:6" ht="12.95" customHeight="1" x14ac:dyDescent="0.2">
      <c r="A5" s="3" t="s">
        <v>102</v>
      </c>
      <c r="C5" s="43">
        <v>-9.5</v>
      </c>
    </row>
    <row r="6" spans="1:6" ht="12.95" customHeight="1" x14ac:dyDescent="0.2">
      <c r="A6" s="8" t="s">
        <v>1</v>
      </c>
      <c r="B6" s="8"/>
    </row>
    <row r="7" spans="1:6" ht="12.95" customHeight="1" x14ac:dyDescent="0.2">
      <c r="A7" t="s">
        <v>2</v>
      </c>
      <c r="C7" s="15">
        <v>28543.38</v>
      </c>
    </row>
    <row r="8" spans="1:6" ht="12.95" customHeight="1" x14ac:dyDescent="0.2">
      <c r="A8" t="s">
        <v>3</v>
      </c>
      <c r="C8" s="16">
        <v>7.5187658710000003</v>
      </c>
    </row>
    <row r="9" spans="1:6" ht="12.95" customHeight="1" x14ac:dyDescent="0.2"/>
    <row r="10" spans="1:6" ht="12.95" customHeight="1" thickBot="1" x14ac:dyDescent="0.25">
      <c r="C10" s="7" t="s">
        <v>20</v>
      </c>
      <c r="D10" s="7" t="s">
        <v>21</v>
      </c>
    </row>
    <row r="11" spans="1:6" ht="12.95" customHeight="1" x14ac:dyDescent="0.2">
      <c r="A11" t="s">
        <v>16</v>
      </c>
      <c r="C11">
        <f>INTERCEPT(G21:G1007,F21:F1007)</f>
        <v>6.4255087187064297E-2</v>
      </c>
      <c r="D11" s="6"/>
    </row>
    <row r="12" spans="1:6" ht="12.95" customHeight="1" x14ac:dyDescent="0.2">
      <c r="A12" t="s">
        <v>17</v>
      </c>
      <c r="C12">
        <f>SLOPE(G21:G1007,F21:F1007)</f>
        <v>-1.7052657620998945E-5</v>
      </c>
      <c r="D12" s="6"/>
      <c r="E12" s="36" t="s">
        <v>96</v>
      </c>
      <c r="F12" s="37">
        <v>1</v>
      </c>
    </row>
    <row r="13" spans="1:6" ht="12.95" customHeight="1" x14ac:dyDescent="0.2">
      <c r="A13" t="s">
        <v>19</v>
      </c>
      <c r="C13" s="6" t="s">
        <v>14</v>
      </c>
      <c r="D13" s="6"/>
      <c r="E13" s="36" t="s">
        <v>97</v>
      </c>
      <c r="F13" s="38">
        <f ca="1">NOW()+15018.5+$C$5/24</f>
        <v>60360.72471805555</v>
      </c>
    </row>
    <row r="14" spans="1:6" ht="12.95" customHeight="1" x14ac:dyDescent="0.2">
      <c r="A14" t="s">
        <v>24</v>
      </c>
      <c r="E14" s="36" t="s">
        <v>98</v>
      </c>
      <c r="F14" s="39">
        <f ca="1">ROUND(2*(F13-$C$7)/$C$8,0)/2+F12</f>
        <v>4232.5</v>
      </c>
    </row>
    <row r="15" spans="1:6" ht="12.95" customHeight="1" x14ac:dyDescent="0.2">
      <c r="A15" s="3" t="s">
        <v>18</v>
      </c>
      <c r="B15" s="3"/>
      <c r="C15" s="11">
        <f>(C7+C11)+(C8+C12)*INT(MAX(F21:F3532))</f>
        <v>53377.87160207206</v>
      </c>
      <c r="D15">
        <f>MAX(C21:C58)</f>
        <v>53377.77</v>
      </c>
      <c r="E15" s="36" t="s">
        <v>99</v>
      </c>
      <c r="F15" s="40">
        <f ca="1">ROUND(2*(F13-$C$15)/$C$16,0)/2+F12</f>
        <v>929.5</v>
      </c>
    </row>
    <row r="16" spans="1:6" ht="12.95" customHeight="1" x14ac:dyDescent="0.2">
      <c r="A16" s="8" t="s">
        <v>4</v>
      </c>
      <c r="B16" s="8"/>
      <c r="C16" s="12">
        <f>+C8+C12</f>
        <v>7.5187488183423792</v>
      </c>
      <c r="D16">
        <f>+C$8+D$12+2*D$13*MAX(G21:G58)</f>
        <v>7.5187658710000003</v>
      </c>
      <c r="E16" s="36" t="s">
        <v>100</v>
      </c>
      <c r="F16" s="41">
        <f ca="1">+$C$15+$C$16*F15-15018.5-$C$5/24</f>
        <v>45348.444462054635</v>
      </c>
    </row>
    <row r="17" spans="1:17" ht="12.95" customHeight="1" thickBot="1" x14ac:dyDescent="0.25">
      <c r="A17" s="13" t="s">
        <v>30</v>
      </c>
      <c r="C17">
        <f>COUNT(C21:C2190)</f>
        <v>11</v>
      </c>
      <c r="F17" s="42" t="s">
        <v>101</v>
      </c>
    </row>
    <row r="18" spans="1:17" ht="12.95" customHeight="1" thickTop="1" thickBot="1" x14ac:dyDescent="0.25">
      <c r="A18" s="8" t="s">
        <v>5</v>
      </c>
      <c r="B18" s="8"/>
      <c r="C18" s="4">
        <f>+C15</f>
        <v>53377.87160207206</v>
      </c>
      <c r="D18" s="5">
        <f>+C16</f>
        <v>7.5187488183423792</v>
      </c>
    </row>
    <row r="19" spans="1:17" ht="12.95" customHeight="1" thickTop="1" x14ac:dyDescent="0.2"/>
    <row r="20" spans="1:17" ht="12.95" customHeight="1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103</v>
      </c>
      <c r="J20" s="10" t="s">
        <v>44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 ht="12.95" customHeight="1" x14ac:dyDescent="0.2">
      <c r="A21" t="s">
        <v>32</v>
      </c>
      <c r="B21" s="6"/>
      <c r="C21" s="17">
        <v>26355.350999999999</v>
      </c>
      <c r="D21" s="17"/>
      <c r="E21">
        <f>+(C21-C$7)/C$8</f>
        <v>-291.00906153219438</v>
      </c>
      <c r="F21">
        <f>ROUND(2*E21,0)/2</f>
        <v>-291</v>
      </c>
      <c r="G21">
        <f>+C21-(C$7+F21*C$8)</f>
        <v>-6.8131539002934005E-2</v>
      </c>
      <c r="I21">
        <f>G21</f>
        <v>-6.8131539002934005E-2</v>
      </c>
      <c r="O21">
        <f>+C$11+C$12*$F21</f>
        <v>6.9217410554774983E-2</v>
      </c>
      <c r="Q21" s="2">
        <f>+C21-15018.5</f>
        <v>11336.850999999999</v>
      </c>
    </row>
    <row r="22" spans="1:17" ht="12.95" customHeight="1" x14ac:dyDescent="0.2">
      <c r="A22" s="18" t="s">
        <v>32</v>
      </c>
      <c r="B22" s="19"/>
      <c r="C22" s="20">
        <v>26769.331999999999</v>
      </c>
      <c r="D22" s="17"/>
      <c r="E22">
        <f t="shared" ref="E22:E30" si="0">+(C22-C$7)/C$8</f>
        <v>-235.94936063144803</v>
      </c>
      <c r="F22">
        <f t="shared" ref="F22:F31" si="1">ROUND(2*E22,0)/2</f>
        <v>-236</v>
      </c>
      <c r="G22">
        <f t="shared" ref="G22:I30" si="2">+C22-(C$7+F22*C$8)</f>
        <v>0.3807455559981463</v>
      </c>
      <c r="I22">
        <f t="shared" ref="I22:I30" si="3">G22</f>
        <v>0.3807455559981463</v>
      </c>
      <c r="O22">
        <f t="shared" ref="O22:O30" si="4">+C$11+C$12*$F22</f>
        <v>6.8279514385620049E-2</v>
      </c>
      <c r="Q22" s="2">
        <f t="shared" ref="Q22:Q30" si="5">+C22-15018.5</f>
        <v>11750.831999999999</v>
      </c>
    </row>
    <row r="23" spans="1:17" ht="12.95" customHeight="1" x14ac:dyDescent="0.2">
      <c r="A23" t="s">
        <v>33</v>
      </c>
      <c r="B23" s="6"/>
      <c r="C23" s="17">
        <v>27453.24</v>
      </c>
      <c r="D23" s="17"/>
      <c r="E23">
        <f t="shared" si="0"/>
        <v>-144.98922013314535</v>
      </c>
      <c r="F23">
        <f t="shared" si="1"/>
        <v>-145</v>
      </c>
      <c r="G23">
        <f t="shared" si="2"/>
        <v>8.1051295001088874E-2</v>
      </c>
      <c r="I23">
        <f t="shared" si="3"/>
        <v>8.1051295001088874E-2</v>
      </c>
      <c r="O23">
        <f t="shared" si="4"/>
        <v>6.6727722542109139E-2</v>
      </c>
      <c r="Q23" s="2">
        <f t="shared" si="5"/>
        <v>12434.740000000002</v>
      </c>
    </row>
    <row r="24" spans="1:17" ht="12.95" customHeight="1" x14ac:dyDescent="0.2">
      <c r="A24" t="s">
        <v>34</v>
      </c>
      <c r="B24" s="6"/>
      <c r="C24" s="17">
        <v>28543.35</v>
      </c>
      <c r="D24" s="17"/>
      <c r="E24">
        <f t="shared" si="0"/>
        <v>-3.9900165156338098E-3</v>
      </c>
      <c r="F24">
        <f t="shared" si="1"/>
        <v>0</v>
      </c>
      <c r="G24">
        <f t="shared" si="2"/>
        <v>-3.0000000002473826E-2</v>
      </c>
      <c r="I24">
        <f t="shared" si="3"/>
        <v>-3.0000000002473826E-2</v>
      </c>
      <c r="O24">
        <f t="shared" si="4"/>
        <v>6.4255087187064297E-2</v>
      </c>
      <c r="Q24" s="2">
        <f t="shared" si="5"/>
        <v>13524.849999999999</v>
      </c>
    </row>
    <row r="25" spans="1:17" ht="12.95" customHeight="1" x14ac:dyDescent="0.2">
      <c r="A25" t="s">
        <v>12</v>
      </c>
      <c r="B25" s="6"/>
      <c r="C25" s="17">
        <f>+C4</f>
        <v>28543.38</v>
      </c>
      <c r="D25" s="17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si="4"/>
        <v>6.4255087187064297E-2</v>
      </c>
      <c r="Q25" s="2">
        <f t="shared" si="5"/>
        <v>13524.880000000001</v>
      </c>
    </row>
    <row r="26" spans="1:17" ht="12.95" customHeight="1" x14ac:dyDescent="0.2">
      <c r="A26" t="s">
        <v>35</v>
      </c>
      <c r="B26" s="6"/>
      <c r="C26" s="17">
        <v>29310.3</v>
      </c>
      <c r="D26" s="17"/>
      <c r="E26">
        <f t="shared" si="0"/>
        <v>102.0007821972514</v>
      </c>
      <c r="F26">
        <f t="shared" si="1"/>
        <v>102</v>
      </c>
      <c r="G26">
        <f t="shared" si="2"/>
        <v>5.8811579983739648E-3</v>
      </c>
      <c r="I26">
        <f t="shared" si="3"/>
        <v>5.8811579983739648E-3</v>
      </c>
      <c r="O26">
        <f t="shared" si="4"/>
        <v>6.2515716109722411E-2</v>
      </c>
      <c r="Q26" s="2">
        <f t="shared" si="5"/>
        <v>14291.8</v>
      </c>
    </row>
    <row r="27" spans="1:17" ht="12.95" customHeight="1" x14ac:dyDescent="0.2">
      <c r="A27" t="s">
        <v>35</v>
      </c>
      <c r="B27" s="6"/>
      <c r="C27" s="17">
        <v>29588.53</v>
      </c>
      <c r="D27" s="17"/>
      <c r="E27">
        <f t="shared" si="0"/>
        <v>139.00552536569307</v>
      </c>
      <c r="F27">
        <f t="shared" si="1"/>
        <v>139</v>
      </c>
      <c r="G27">
        <f t="shared" si="2"/>
        <v>4.154393099815934E-2</v>
      </c>
      <c r="I27">
        <f t="shared" si="3"/>
        <v>4.154393099815934E-2</v>
      </c>
      <c r="O27">
        <f t="shared" si="4"/>
        <v>6.1884767777745445E-2</v>
      </c>
      <c r="Q27" s="2">
        <f t="shared" si="5"/>
        <v>14570.029999999999</v>
      </c>
    </row>
    <row r="28" spans="1:17" ht="12.95" customHeight="1" x14ac:dyDescent="0.2">
      <c r="A28" t="s">
        <v>36</v>
      </c>
      <c r="B28" s="6"/>
      <c r="C28" s="17">
        <v>30468.27</v>
      </c>
      <c r="D28" s="17"/>
      <c r="E28">
        <f t="shared" si="0"/>
        <v>256.01142967150111</v>
      </c>
      <c r="F28">
        <f t="shared" si="1"/>
        <v>256</v>
      </c>
      <c r="G28">
        <f t="shared" si="2"/>
        <v>8.5937023999576923E-2</v>
      </c>
      <c r="I28">
        <f t="shared" si="3"/>
        <v>8.5937023999576923E-2</v>
      </c>
      <c r="O28">
        <f t="shared" si="4"/>
        <v>5.9889606836088564E-2</v>
      </c>
      <c r="Q28" s="2">
        <f t="shared" si="5"/>
        <v>15449.77</v>
      </c>
    </row>
    <row r="29" spans="1:17" ht="12.95" customHeight="1" x14ac:dyDescent="0.2">
      <c r="A29" t="s">
        <v>37</v>
      </c>
      <c r="B29" s="6" t="s">
        <v>38</v>
      </c>
      <c r="C29" s="17">
        <v>51287.740299999998</v>
      </c>
      <c r="D29" s="17"/>
      <c r="E29">
        <f t="shared" si="0"/>
        <v>3025.0124409014193</v>
      </c>
      <c r="F29">
        <f t="shared" si="1"/>
        <v>3025</v>
      </c>
      <c r="G29">
        <f t="shared" si="2"/>
        <v>9.3540224996104371E-2</v>
      </c>
      <c r="I29">
        <f t="shared" si="3"/>
        <v>9.3540224996104371E-2</v>
      </c>
      <c r="O29">
        <f t="shared" si="4"/>
        <v>1.2670797883542487E-2</v>
      </c>
      <c r="Q29" s="2">
        <f t="shared" si="5"/>
        <v>36269.240299999998</v>
      </c>
    </row>
    <row r="30" spans="1:17" ht="12.95" customHeight="1" x14ac:dyDescent="0.2">
      <c r="A30" t="s">
        <v>39</v>
      </c>
      <c r="B30" s="6"/>
      <c r="C30" s="17">
        <v>52310.25</v>
      </c>
      <c r="D30" s="17"/>
      <c r="E30">
        <f t="shared" si="0"/>
        <v>3161.0067939033979</v>
      </c>
      <c r="F30">
        <f t="shared" si="1"/>
        <v>3161</v>
      </c>
      <c r="G30">
        <f t="shared" si="2"/>
        <v>5.108176899375394E-2</v>
      </c>
      <c r="I30">
        <f t="shared" si="3"/>
        <v>5.108176899375394E-2</v>
      </c>
      <c r="O30">
        <f t="shared" si="4"/>
        <v>1.0351636447086629E-2</v>
      </c>
      <c r="Q30" s="2">
        <f t="shared" si="5"/>
        <v>37291.75</v>
      </c>
    </row>
    <row r="31" spans="1:17" ht="12.95" customHeight="1" x14ac:dyDescent="0.2">
      <c r="A31" t="s">
        <v>41</v>
      </c>
      <c r="B31" s="6" t="s">
        <v>38</v>
      </c>
      <c r="C31" s="21">
        <v>53377.77</v>
      </c>
      <c r="D31" s="21">
        <v>4.0000000000000002E-4</v>
      </c>
      <c r="E31">
        <f>+(C31-C$7)/C$8</f>
        <v>3302.9875415840029</v>
      </c>
      <c r="F31">
        <f t="shared" si="1"/>
        <v>3303</v>
      </c>
      <c r="G31">
        <f>+C31-(C$7+F31*C$8)</f>
        <v>-9.3671913004072849E-2</v>
      </c>
      <c r="J31">
        <f>+G31</f>
        <v>-9.3671913004072849E-2</v>
      </c>
      <c r="O31">
        <f>+C$11+C$12*$F31</f>
        <v>7.9301590649047821E-3</v>
      </c>
      <c r="Q31" s="2">
        <f>+C31-15018.5</f>
        <v>38359.269999999997</v>
      </c>
    </row>
    <row r="32" spans="1:17" ht="12.95" customHeight="1" x14ac:dyDescent="0.2">
      <c r="C32" s="14"/>
      <c r="D32" s="14"/>
      <c r="Q32" s="2"/>
    </row>
    <row r="33" spans="3:17" ht="12.95" customHeight="1" x14ac:dyDescent="0.2">
      <c r="C33" s="14"/>
      <c r="D33" s="14"/>
      <c r="Q33" s="2"/>
    </row>
    <row r="34" spans="3:17" ht="12.95" customHeight="1" x14ac:dyDescent="0.2">
      <c r="C34" s="14"/>
      <c r="D34" s="14"/>
    </row>
    <row r="35" spans="3:17" ht="12.95" customHeight="1" x14ac:dyDescent="0.2">
      <c r="C35" s="14"/>
      <c r="D35" s="14"/>
    </row>
    <row r="36" spans="3:17" ht="12.95" customHeight="1" x14ac:dyDescent="0.2">
      <c r="C36" s="14"/>
      <c r="D36" s="14"/>
    </row>
    <row r="37" spans="3:17" ht="12.95" customHeight="1" x14ac:dyDescent="0.2">
      <c r="C37" s="14"/>
      <c r="D37" s="14"/>
    </row>
    <row r="38" spans="3:17" ht="12.95" customHeight="1" x14ac:dyDescent="0.2">
      <c r="C38" s="14"/>
      <c r="D38" s="14"/>
    </row>
    <row r="39" spans="3:17" ht="12.95" customHeight="1" x14ac:dyDescent="0.2">
      <c r="C39" s="14"/>
      <c r="D39" s="14"/>
    </row>
    <row r="40" spans="3:17" ht="12.95" customHeight="1" x14ac:dyDescent="0.2">
      <c r="C40" s="14"/>
      <c r="D40" s="14"/>
    </row>
    <row r="41" spans="3:17" ht="12.95" customHeight="1" x14ac:dyDescent="0.2">
      <c r="C41" s="14"/>
      <c r="D41" s="14"/>
    </row>
    <row r="42" spans="3:17" ht="12.95" customHeight="1" x14ac:dyDescent="0.2">
      <c r="C42" s="14"/>
      <c r="D42" s="14"/>
    </row>
    <row r="43" spans="3:17" ht="12.95" customHeight="1" x14ac:dyDescent="0.2">
      <c r="C43" s="14"/>
      <c r="D43" s="14"/>
    </row>
    <row r="44" spans="3:17" ht="12.95" customHeight="1" x14ac:dyDescent="0.2">
      <c r="C44" s="14"/>
      <c r="D44" s="14"/>
    </row>
    <row r="45" spans="3:17" ht="12.95" customHeight="1" x14ac:dyDescent="0.2">
      <c r="C45" s="14"/>
      <c r="D45" s="14"/>
    </row>
    <row r="46" spans="3:17" ht="12.95" customHeight="1" x14ac:dyDescent="0.2">
      <c r="C46" s="14"/>
      <c r="D46" s="14"/>
    </row>
    <row r="47" spans="3:17" ht="12.95" customHeight="1" x14ac:dyDescent="0.2">
      <c r="C47" s="14"/>
      <c r="D47" s="14"/>
    </row>
    <row r="48" spans="3:17" ht="12.95" customHeight="1" x14ac:dyDescent="0.2">
      <c r="C48" s="14"/>
      <c r="D48" s="14"/>
    </row>
    <row r="49" spans="3:4" ht="12.95" customHeight="1" x14ac:dyDescent="0.2">
      <c r="C49" s="14"/>
      <c r="D49" s="14"/>
    </row>
    <row r="50" spans="3:4" ht="12.95" customHeight="1" x14ac:dyDescent="0.2">
      <c r="C50" s="14"/>
      <c r="D50" s="14"/>
    </row>
    <row r="51" spans="3:4" ht="12.95" customHeight="1" x14ac:dyDescent="0.2">
      <c r="C51" s="14"/>
      <c r="D51" s="14"/>
    </row>
    <row r="52" spans="3:4" ht="12.95" customHeight="1" x14ac:dyDescent="0.2">
      <c r="C52" s="14"/>
      <c r="D52" s="14"/>
    </row>
    <row r="53" spans="3:4" ht="12.95" customHeight="1" x14ac:dyDescent="0.2">
      <c r="C53" s="14"/>
      <c r="D53" s="14"/>
    </row>
    <row r="54" spans="3:4" ht="12.95" customHeight="1" x14ac:dyDescent="0.2">
      <c r="C54" s="14"/>
      <c r="D54" s="14"/>
    </row>
    <row r="55" spans="3:4" ht="12.95" customHeight="1" x14ac:dyDescent="0.2">
      <c r="C55" s="14"/>
      <c r="D55" s="14"/>
    </row>
    <row r="56" spans="3:4" ht="12.95" customHeight="1" x14ac:dyDescent="0.2">
      <c r="C56" s="14"/>
      <c r="D56" s="14"/>
    </row>
    <row r="57" spans="3:4" ht="12.95" customHeight="1" x14ac:dyDescent="0.2">
      <c r="C57" s="14"/>
      <c r="D57" s="14"/>
    </row>
    <row r="58" spans="3:4" ht="12.95" customHeight="1" x14ac:dyDescent="0.2">
      <c r="C58" s="14"/>
      <c r="D58" s="14"/>
    </row>
    <row r="59" spans="3:4" ht="12.95" customHeight="1" x14ac:dyDescent="0.2">
      <c r="C59" s="14"/>
      <c r="D59" s="14"/>
    </row>
    <row r="60" spans="3:4" ht="12.95" customHeight="1" x14ac:dyDescent="0.2">
      <c r="C60" s="14"/>
      <c r="D60" s="14"/>
    </row>
    <row r="61" spans="3:4" ht="12.95" customHeight="1" x14ac:dyDescent="0.2">
      <c r="C61" s="14"/>
      <c r="D61" s="14"/>
    </row>
    <row r="62" spans="3:4" ht="12.95" customHeight="1" x14ac:dyDescent="0.2">
      <c r="C62" s="14"/>
      <c r="D62" s="14"/>
    </row>
    <row r="63" spans="3:4" ht="12.95" customHeight="1" x14ac:dyDescent="0.2">
      <c r="C63" s="14"/>
      <c r="D63" s="14"/>
    </row>
    <row r="64" spans="3:4" ht="12.95" customHeight="1" x14ac:dyDescent="0.2">
      <c r="C64" s="14"/>
      <c r="D64" s="14"/>
    </row>
    <row r="65" spans="3:4" ht="12.95" customHeight="1" x14ac:dyDescent="0.2">
      <c r="C65" s="14"/>
      <c r="D65" s="14"/>
    </row>
    <row r="66" spans="3:4" ht="12.95" customHeight="1" x14ac:dyDescent="0.2">
      <c r="C66" s="14"/>
      <c r="D66" s="14"/>
    </row>
    <row r="67" spans="3:4" ht="12.95" customHeight="1" x14ac:dyDescent="0.2">
      <c r="C67" s="14"/>
      <c r="D67" s="14"/>
    </row>
    <row r="68" spans="3:4" ht="12.95" customHeight="1" x14ac:dyDescent="0.2">
      <c r="C68" s="14"/>
      <c r="D68" s="14"/>
    </row>
    <row r="69" spans="3:4" ht="12.95" customHeight="1" x14ac:dyDescent="0.2">
      <c r="C69" s="14"/>
      <c r="D69" s="14"/>
    </row>
    <row r="70" spans="3:4" ht="12.95" customHeight="1" x14ac:dyDescent="0.2">
      <c r="C70" s="14"/>
      <c r="D70" s="14"/>
    </row>
    <row r="71" spans="3:4" ht="12.95" customHeight="1" x14ac:dyDescent="0.2">
      <c r="C71" s="14"/>
      <c r="D71" s="14"/>
    </row>
    <row r="72" spans="3:4" ht="12.95" customHeight="1" x14ac:dyDescent="0.2">
      <c r="C72" s="14"/>
      <c r="D72" s="14"/>
    </row>
    <row r="73" spans="3:4" ht="12.95" customHeight="1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1"/>
  <sheetViews>
    <sheetView workbookViewId="0">
      <selection activeCell="A11" sqref="A11:IV448"/>
    </sheetView>
  </sheetViews>
  <sheetFormatPr defaultRowHeight="12.75" x14ac:dyDescent="0.2"/>
  <cols>
    <col min="1" max="1" width="19.7109375" style="14" customWidth="1"/>
    <col min="2" max="2" width="4.42578125" style="23" customWidth="1"/>
    <col min="3" max="3" width="12.7109375" style="14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14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22" t="s">
        <v>42</v>
      </c>
      <c r="I1" s="24" t="s">
        <v>43</v>
      </c>
      <c r="J1" s="25" t="s">
        <v>44</v>
      </c>
    </row>
    <row r="2" spans="1:16" x14ac:dyDescent="0.2">
      <c r="I2" s="26" t="s">
        <v>45</v>
      </c>
      <c r="J2" s="27" t="s">
        <v>46</v>
      </c>
    </row>
    <row r="3" spans="1:16" x14ac:dyDescent="0.2">
      <c r="A3" s="28" t="s">
        <v>47</v>
      </c>
      <c r="I3" s="26" t="s">
        <v>48</v>
      </c>
      <c r="J3" s="27" t="s">
        <v>49</v>
      </c>
    </row>
    <row r="4" spans="1:16" x14ac:dyDescent="0.2">
      <c r="I4" s="26" t="s">
        <v>50</v>
      </c>
      <c r="J4" s="27" t="s">
        <v>49</v>
      </c>
    </row>
    <row r="5" spans="1:16" ht="13.5" thickBot="1" x14ac:dyDescent="0.25">
      <c r="I5" s="29" t="s">
        <v>51</v>
      </c>
      <c r="J5" s="30" t="s">
        <v>52</v>
      </c>
    </row>
    <row r="10" spans="1:16" ht="13.5" thickBot="1" x14ac:dyDescent="0.25"/>
    <row r="11" spans="1:16" ht="12.75" customHeight="1" thickBot="1" x14ac:dyDescent="0.25">
      <c r="A11" s="14" t="str">
        <f t="shared" ref="A11:A19" si="0">P11</f>
        <v> AN 249.387 </v>
      </c>
      <c r="B11" s="6" t="str">
        <f t="shared" ref="B11:B19" si="1">IF(H11=INT(H11),"I","II")</f>
        <v>I</v>
      </c>
      <c r="C11" s="14">
        <f t="shared" ref="C11:C19" si="2">1*G11</f>
        <v>26355.350999999999</v>
      </c>
      <c r="D11" s="23" t="str">
        <f t="shared" ref="D11:D19" si="3">VLOOKUP(F11,I$1:J$5,2,FALSE)</f>
        <v>vis</v>
      </c>
      <c r="E11" s="31">
        <f>VLOOKUP(C11,Active!C$21:E$973,3,FALSE)</f>
        <v>-291.00906153219438</v>
      </c>
      <c r="F11" s="6" t="s">
        <v>51</v>
      </c>
      <c r="G11" s="23" t="str">
        <f t="shared" ref="G11:G19" si="4">MID(I11,3,LEN(I11)-3)</f>
        <v>26355.351</v>
      </c>
      <c r="H11" s="14">
        <f t="shared" ref="H11:H19" si="5">1*K11</f>
        <v>-291</v>
      </c>
      <c r="I11" s="32" t="s">
        <v>53</v>
      </c>
      <c r="J11" s="33" t="s">
        <v>54</v>
      </c>
      <c r="K11" s="32">
        <v>-291</v>
      </c>
      <c r="L11" s="32" t="s">
        <v>55</v>
      </c>
      <c r="M11" s="33" t="s">
        <v>56</v>
      </c>
      <c r="N11" s="33"/>
      <c r="O11" s="34" t="s">
        <v>57</v>
      </c>
      <c r="P11" s="34" t="s">
        <v>58</v>
      </c>
    </row>
    <row r="12" spans="1:16" ht="12.75" customHeight="1" thickBot="1" x14ac:dyDescent="0.25">
      <c r="A12" s="14" t="str">
        <f t="shared" si="0"/>
        <v> AN 249.387 </v>
      </c>
      <c r="B12" s="6" t="str">
        <f t="shared" si="1"/>
        <v>I</v>
      </c>
      <c r="C12" s="14">
        <f t="shared" si="2"/>
        <v>26769.331999999999</v>
      </c>
      <c r="D12" s="23" t="str">
        <f t="shared" si="3"/>
        <v>vis</v>
      </c>
      <c r="E12" s="31">
        <f>VLOOKUP(C12,Active!C$21:E$973,3,FALSE)</f>
        <v>-235.94936063144803</v>
      </c>
      <c r="F12" s="6" t="s">
        <v>51</v>
      </c>
      <c r="G12" s="23" t="str">
        <f t="shared" si="4"/>
        <v>26769.332</v>
      </c>
      <c r="H12" s="14">
        <f t="shared" si="5"/>
        <v>-236</v>
      </c>
      <c r="I12" s="32" t="s">
        <v>59</v>
      </c>
      <c r="J12" s="33" t="s">
        <v>60</v>
      </c>
      <c r="K12" s="32">
        <v>-236</v>
      </c>
      <c r="L12" s="32" t="s">
        <v>61</v>
      </c>
      <c r="M12" s="33" t="s">
        <v>56</v>
      </c>
      <c r="N12" s="33"/>
      <c r="O12" s="34" t="s">
        <v>57</v>
      </c>
      <c r="P12" s="34" t="s">
        <v>58</v>
      </c>
    </row>
    <row r="13" spans="1:16" ht="12.75" customHeight="1" thickBot="1" x14ac:dyDescent="0.25">
      <c r="A13" s="14" t="str">
        <f t="shared" si="0"/>
        <v> AA 27.154 </v>
      </c>
      <c r="B13" s="6" t="str">
        <f t="shared" si="1"/>
        <v>I</v>
      </c>
      <c r="C13" s="14">
        <f t="shared" si="2"/>
        <v>27453.24</v>
      </c>
      <c r="D13" s="23" t="str">
        <f t="shared" si="3"/>
        <v>vis</v>
      </c>
      <c r="E13" s="31">
        <f>VLOOKUP(C13,Active!C$21:E$973,3,FALSE)</f>
        <v>-144.98922013314535</v>
      </c>
      <c r="F13" s="6" t="s">
        <v>51</v>
      </c>
      <c r="G13" s="23" t="str">
        <f t="shared" si="4"/>
        <v>27453.24</v>
      </c>
      <c r="H13" s="14">
        <f t="shared" si="5"/>
        <v>-145</v>
      </c>
      <c r="I13" s="32" t="s">
        <v>62</v>
      </c>
      <c r="J13" s="33" t="s">
        <v>63</v>
      </c>
      <c r="K13" s="32">
        <v>-145</v>
      </c>
      <c r="L13" s="32" t="s">
        <v>64</v>
      </c>
      <c r="M13" s="33" t="s">
        <v>65</v>
      </c>
      <c r="N13" s="33"/>
      <c r="O13" s="34" t="s">
        <v>66</v>
      </c>
      <c r="P13" s="34" t="s">
        <v>67</v>
      </c>
    </row>
    <row r="14" spans="1:16" ht="12.75" customHeight="1" thickBot="1" x14ac:dyDescent="0.25">
      <c r="A14" s="14" t="str">
        <f t="shared" si="0"/>
        <v> SAC 18.62 </v>
      </c>
      <c r="B14" s="6" t="str">
        <f t="shared" si="1"/>
        <v>I</v>
      </c>
      <c r="C14" s="14">
        <f t="shared" si="2"/>
        <v>28543.35</v>
      </c>
      <c r="D14" s="23" t="str">
        <f t="shared" si="3"/>
        <v>vis</v>
      </c>
      <c r="E14" s="31">
        <f>VLOOKUP(C14,Active!C$21:E$973,3,FALSE)</f>
        <v>-3.9900165156338098E-3</v>
      </c>
      <c r="F14" s="6" t="s">
        <v>51</v>
      </c>
      <c r="G14" s="23" t="str">
        <f t="shared" si="4"/>
        <v>28543.35</v>
      </c>
      <c r="H14" s="14">
        <f t="shared" si="5"/>
        <v>0</v>
      </c>
      <c r="I14" s="32" t="s">
        <v>68</v>
      </c>
      <c r="J14" s="33" t="s">
        <v>69</v>
      </c>
      <c r="K14" s="32">
        <v>0</v>
      </c>
      <c r="L14" s="32" t="s">
        <v>70</v>
      </c>
      <c r="M14" s="33" t="s">
        <v>65</v>
      </c>
      <c r="N14" s="33"/>
      <c r="O14" s="34" t="s">
        <v>71</v>
      </c>
      <c r="P14" s="34" t="s">
        <v>72</v>
      </c>
    </row>
    <row r="15" spans="1:16" ht="12.75" customHeight="1" thickBot="1" x14ac:dyDescent="0.25">
      <c r="A15" s="14" t="str">
        <f t="shared" si="0"/>
        <v> PZ 6.311 </v>
      </c>
      <c r="B15" s="6" t="str">
        <f t="shared" si="1"/>
        <v>I</v>
      </c>
      <c r="C15" s="14">
        <f t="shared" si="2"/>
        <v>29310.3</v>
      </c>
      <c r="D15" s="23" t="str">
        <f t="shared" si="3"/>
        <v>vis</v>
      </c>
      <c r="E15" s="31">
        <f>VLOOKUP(C15,Active!C$21:E$973,3,FALSE)</f>
        <v>102.0007821972514</v>
      </c>
      <c r="F15" s="6" t="s">
        <v>51</v>
      </c>
      <c r="G15" s="23" t="str">
        <f t="shared" si="4"/>
        <v>29310.30</v>
      </c>
      <c r="H15" s="14">
        <f t="shared" si="5"/>
        <v>102</v>
      </c>
      <c r="I15" s="32" t="s">
        <v>73</v>
      </c>
      <c r="J15" s="33" t="s">
        <v>74</v>
      </c>
      <c r="K15" s="32">
        <v>102</v>
      </c>
      <c r="L15" s="32" t="s">
        <v>75</v>
      </c>
      <c r="M15" s="33" t="s">
        <v>56</v>
      </c>
      <c r="N15" s="33"/>
      <c r="O15" s="34" t="s">
        <v>76</v>
      </c>
      <c r="P15" s="34" t="s">
        <v>77</v>
      </c>
    </row>
    <row r="16" spans="1:16" ht="12.75" customHeight="1" thickBot="1" x14ac:dyDescent="0.25">
      <c r="A16" s="14" t="str">
        <f t="shared" si="0"/>
        <v> PZ 6.311 </v>
      </c>
      <c r="B16" s="6" t="str">
        <f t="shared" si="1"/>
        <v>I</v>
      </c>
      <c r="C16" s="14">
        <f t="shared" si="2"/>
        <v>29588.53</v>
      </c>
      <c r="D16" s="23" t="str">
        <f t="shared" si="3"/>
        <v>vis</v>
      </c>
      <c r="E16" s="31">
        <f>VLOOKUP(C16,Active!C$21:E$973,3,FALSE)</f>
        <v>139.00552536569307</v>
      </c>
      <c r="F16" s="6" t="s">
        <v>51</v>
      </c>
      <c r="G16" s="23" t="str">
        <f t="shared" si="4"/>
        <v>29588.53</v>
      </c>
      <c r="H16" s="14">
        <f t="shared" si="5"/>
        <v>139</v>
      </c>
      <c r="I16" s="32" t="s">
        <v>78</v>
      </c>
      <c r="J16" s="33" t="s">
        <v>79</v>
      </c>
      <c r="K16" s="32">
        <v>139</v>
      </c>
      <c r="L16" s="32" t="s">
        <v>80</v>
      </c>
      <c r="M16" s="33" t="s">
        <v>56</v>
      </c>
      <c r="N16" s="33"/>
      <c r="O16" s="34" t="s">
        <v>76</v>
      </c>
      <c r="P16" s="34" t="s">
        <v>77</v>
      </c>
    </row>
    <row r="17" spans="1:16" ht="12.75" customHeight="1" thickBot="1" x14ac:dyDescent="0.25">
      <c r="A17" s="14" t="str">
        <f t="shared" si="0"/>
        <v> AA 27.154 </v>
      </c>
      <c r="B17" s="6" t="str">
        <f t="shared" si="1"/>
        <v>I</v>
      </c>
      <c r="C17" s="14">
        <f t="shared" si="2"/>
        <v>30468.27</v>
      </c>
      <c r="D17" s="23" t="str">
        <f t="shared" si="3"/>
        <v>vis</v>
      </c>
      <c r="E17" s="31">
        <f>VLOOKUP(C17,Active!C$21:E$973,3,FALSE)</f>
        <v>256.01142967150111</v>
      </c>
      <c r="F17" s="6" t="s">
        <v>51</v>
      </c>
      <c r="G17" s="23" t="str">
        <f t="shared" si="4"/>
        <v>30468.27</v>
      </c>
      <c r="H17" s="14">
        <f t="shared" si="5"/>
        <v>256</v>
      </c>
      <c r="I17" s="32" t="s">
        <v>81</v>
      </c>
      <c r="J17" s="33" t="s">
        <v>82</v>
      </c>
      <c r="K17" s="32">
        <v>256</v>
      </c>
      <c r="L17" s="32" t="s">
        <v>83</v>
      </c>
      <c r="M17" s="33" t="s">
        <v>65</v>
      </c>
      <c r="N17" s="33"/>
      <c r="O17" s="34" t="s">
        <v>71</v>
      </c>
      <c r="P17" s="34" t="s">
        <v>67</v>
      </c>
    </row>
    <row r="18" spans="1:16" ht="12.75" customHeight="1" thickBot="1" x14ac:dyDescent="0.25">
      <c r="A18" s="14" t="str">
        <f t="shared" si="0"/>
        <v> BBS 127 </v>
      </c>
      <c r="B18" s="6" t="str">
        <f t="shared" si="1"/>
        <v>I</v>
      </c>
      <c r="C18" s="14">
        <f t="shared" si="2"/>
        <v>52310.25</v>
      </c>
      <c r="D18" s="23" t="str">
        <f t="shared" si="3"/>
        <v>vis</v>
      </c>
      <c r="E18" s="31">
        <f>VLOOKUP(C18,Active!C$21:E$973,3,FALSE)</f>
        <v>3161.0067939033979</v>
      </c>
      <c r="F18" s="6" t="s">
        <v>51</v>
      </c>
      <c r="G18" s="23" t="str">
        <f t="shared" si="4"/>
        <v>52310.25</v>
      </c>
      <c r="H18" s="14">
        <f t="shared" si="5"/>
        <v>3161</v>
      </c>
      <c r="I18" s="32" t="s">
        <v>84</v>
      </c>
      <c r="J18" s="33" t="s">
        <v>85</v>
      </c>
      <c r="K18" s="32">
        <v>3161</v>
      </c>
      <c r="L18" s="32" t="s">
        <v>86</v>
      </c>
      <c r="M18" s="33" t="s">
        <v>87</v>
      </c>
      <c r="N18" s="33" t="s">
        <v>88</v>
      </c>
      <c r="O18" s="34" t="s">
        <v>89</v>
      </c>
      <c r="P18" s="34" t="s">
        <v>90</v>
      </c>
    </row>
    <row r="19" spans="1:16" ht="12.75" customHeight="1" thickBot="1" x14ac:dyDescent="0.25">
      <c r="A19" s="14" t="str">
        <f t="shared" si="0"/>
        <v>IBVS 5690 </v>
      </c>
      <c r="B19" s="6" t="str">
        <f t="shared" si="1"/>
        <v>I</v>
      </c>
      <c r="C19" s="14">
        <f t="shared" si="2"/>
        <v>53377.77</v>
      </c>
      <c r="D19" s="23" t="str">
        <f t="shared" si="3"/>
        <v>vis</v>
      </c>
      <c r="E19" s="31">
        <f>VLOOKUP(C19,Active!C$21:E$973,3,FALSE)</f>
        <v>3302.9875415840029</v>
      </c>
      <c r="F19" s="6" t="s">
        <v>51</v>
      </c>
      <c r="G19" s="23" t="str">
        <f t="shared" si="4"/>
        <v>53377.7700</v>
      </c>
      <c r="H19" s="14">
        <f t="shared" si="5"/>
        <v>3303</v>
      </c>
      <c r="I19" s="32" t="s">
        <v>91</v>
      </c>
      <c r="J19" s="33" t="s">
        <v>92</v>
      </c>
      <c r="K19" s="32">
        <v>3303</v>
      </c>
      <c r="L19" s="32" t="s">
        <v>93</v>
      </c>
      <c r="M19" s="33" t="s">
        <v>87</v>
      </c>
      <c r="N19" s="33" t="s">
        <v>88</v>
      </c>
      <c r="O19" s="34" t="s">
        <v>94</v>
      </c>
      <c r="P19" s="35" t="s">
        <v>95</v>
      </c>
    </row>
    <row r="20" spans="1:16" x14ac:dyDescent="0.2">
      <c r="B20" s="6"/>
      <c r="E20" s="31"/>
      <c r="F20" s="6"/>
    </row>
    <row r="21" spans="1:16" x14ac:dyDescent="0.2">
      <c r="B21" s="6"/>
      <c r="E21" s="31"/>
      <c r="F21" s="6"/>
    </row>
    <row r="22" spans="1:16" x14ac:dyDescent="0.2">
      <c r="B22" s="6"/>
      <c r="E22" s="31"/>
      <c r="F22" s="6"/>
    </row>
    <row r="23" spans="1:16" x14ac:dyDescent="0.2">
      <c r="B23" s="6"/>
      <c r="E23" s="31"/>
      <c r="F23" s="6"/>
    </row>
    <row r="24" spans="1:16" x14ac:dyDescent="0.2">
      <c r="B24" s="6"/>
      <c r="E24" s="31"/>
      <c r="F24" s="6"/>
    </row>
    <row r="25" spans="1:16" x14ac:dyDescent="0.2">
      <c r="B25" s="6"/>
      <c r="E25" s="31"/>
      <c r="F25" s="6"/>
    </row>
    <row r="26" spans="1:16" x14ac:dyDescent="0.2">
      <c r="B26" s="6"/>
      <c r="E26" s="31"/>
      <c r="F26" s="6"/>
    </row>
    <row r="27" spans="1:16" x14ac:dyDescent="0.2">
      <c r="B27" s="6"/>
      <c r="E27" s="31"/>
      <c r="F27" s="6"/>
    </row>
    <row r="28" spans="1:16" x14ac:dyDescent="0.2">
      <c r="B28" s="6"/>
      <c r="E28" s="31"/>
      <c r="F28" s="6"/>
    </row>
    <row r="29" spans="1:16" x14ac:dyDescent="0.2">
      <c r="B29" s="6"/>
      <c r="E29" s="31"/>
      <c r="F29" s="6"/>
    </row>
    <row r="30" spans="1:16" x14ac:dyDescent="0.2">
      <c r="B30" s="6"/>
      <c r="E30" s="31"/>
      <c r="F30" s="6"/>
    </row>
    <row r="31" spans="1:16" x14ac:dyDescent="0.2">
      <c r="B31" s="6"/>
      <c r="E31" s="31"/>
      <c r="F31" s="6"/>
    </row>
    <row r="32" spans="1:16" x14ac:dyDescent="0.2">
      <c r="B32" s="6"/>
      <c r="E32" s="31"/>
      <c r="F32" s="6"/>
    </row>
    <row r="33" spans="2:6" x14ac:dyDescent="0.2">
      <c r="B33" s="6"/>
      <c r="E33" s="31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</sheetData>
  <phoneticPr fontId="8" type="noConversion"/>
  <hyperlinks>
    <hyperlink ref="P19" r:id="rId1" display="http://www.konkoly.hu/cgi-bin/IBVS?569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2024-02-20T04:23:35Z</dcterms:modified>
</cp:coreProperties>
</file>