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D70157-4B5E-4363-8185-44B8E2B390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11" i="2" l="1"/>
  <c r="G11" i="2"/>
  <c r="C11" i="2"/>
  <c r="D11" i="2"/>
  <c r="B11" i="2"/>
  <c r="A11" i="2"/>
  <c r="F11" i="1"/>
  <c r="Q22" i="1"/>
  <c r="D4" i="1"/>
  <c r="C4" i="1"/>
  <c r="B2" i="1"/>
  <c r="C7" i="1"/>
  <c r="C8" i="1"/>
  <c r="G11" i="1"/>
  <c r="E15" i="1"/>
  <c r="E11" i="2"/>
  <c r="E22" i="1"/>
  <c r="F22" i="1"/>
  <c r="G22" i="1"/>
  <c r="I22" i="1"/>
  <c r="C21" i="1"/>
  <c r="Q21" i="1"/>
  <c r="C17" i="1"/>
  <c r="E21" i="1"/>
  <c r="F21" i="1"/>
  <c r="G21" i="1"/>
  <c r="H21" i="1"/>
  <c r="C11" i="1"/>
  <c r="C12" i="1" l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<sst xmlns="http://schemas.openxmlformats.org/spreadsheetml/2006/main" count="66" uniqueCount="61">
  <si>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</si>
  <si>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</si>
  <si>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</si>
  <si>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</si>
  <si>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</si>
  <si>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</si>
  <si>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</si>
  <si>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</si>
  <si>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</si>
  <si>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</si>
  <si>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</si>
  <si>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</si>
  <si>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</si>
  <si>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</si>
  <si>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</si>
  <si>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</si>
  <si>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</si>
  <si>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</si>
  <si>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</si>
  <si>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</si>
  <si>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</si>
  <si>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</si>
  <si>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</si>
  <si>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</si>
  <si>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</si>
  <si>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</si>
  <si>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</si>
  <si>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</si>
  <si>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</si>
  <si>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</si>
  <si>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</si>
  <si>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</si>
  <si>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</si>
  <si>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</si>
  <si>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</si>
  <si>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</si>
  <si>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</si>
  <si>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</si>
  <si>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</si>
  <si>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</si>
  <si>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HK Mon / na</t>
  </si>
  <si>
    <t xml:space="preserve">EA/SD     </t>
  </si>
  <si>
    <t>IBVS 5438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</si>
  <si>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</si>
  <si>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</si>
  <si>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</si>
  <si>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</si>
  <si>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</si>
  <si>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</si>
  <si>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</si>
  <si>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</si>
  <si>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</si>
  <si>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</si>
  <si>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</si>
  <si>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2452717.397 </t>
  </si>
  <si>
    <t> 18.03.2003 21:31 </t>
  </si>
  <si>
    <t> 0.024 </t>
  </si>
  <si>
    <t>E </t>
  </si>
  <si>
    <t>?</t>
  </si>
  <si>
    <t> R.Diethelm </t>
  </si>
  <si>
    <t> BBS 129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</si>
</sst>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HK Mon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A-40EA-B553-C4F2F5093B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1.140000022132881E-4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A-40EA-B553-C4F2F5093B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2A-40EA-B553-C4F2F5093B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2A-40EA-B553-C4F2F5093B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2A-40EA-B553-C4F2F5093B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2A-40EA-B553-C4F2F5093B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2A-40EA-B553-C4F2F5093B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6.7762635780344027E-21</c:v>
                </c:pt>
                <c:pt idx="1">
                  <c:v>1.140000022132881E-4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2A-40EA-B553-C4F2F509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720288"/>
        <c:axId val="1"/>
      </c:scatterChart>
      <c:valAx>
        <c:axId val="89472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2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16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5CAF7B-B6D0-A90C-6107-55F36E242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52500.798799999997</v>
      </c>
      <c r="G1" s="3">
        <v>1.835577</v>
      </c>
      <c r="H1" s="3" t="s">
        <v>41</v>
      </c>
    </row>
    <row r="2" spans="1:8" ht="12.95" customHeight="1" x14ac:dyDescent="0.2">
      <c r="A2" t="s">
        <v>23</v>
      </c>
      <c r="B2" t="str">
        <f>H1</f>
        <v xml:space="preserve">EA/SD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39</v>
      </c>
      <c r="C4" s="8">
        <f>F1</f>
        <v>52500.798799999997</v>
      </c>
      <c r="D4" s="9">
        <f>G1</f>
        <v>1.835577</v>
      </c>
    </row>
    <row r="5" spans="1:8" ht="12.95" customHeight="1" x14ac:dyDescent="0.2">
      <c r="C5" s="31" t="s">
        <v>37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52500.798799999997</v>
      </c>
    </row>
    <row r="8" spans="1:8" ht="12.95" customHeight="1" x14ac:dyDescent="0.2">
      <c r="A8" t="s">
        <v>2</v>
      </c>
      <c r="C8">
        <f>D4</f>
        <v>1.835577</v>
      </c>
      <c r="D8" s="30"/>
    </row>
    <row r="9" spans="1:8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INTERCEPT(INDIRECT($G$11):G975,INDIRECT($F$11):F975)</f>
        <v>6.7762635780344027E-21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ht="12.95" customHeight="1" x14ac:dyDescent="0.2">
      <c r="A12" s="12" t="s">
        <v>15</v>
      </c>
      <c r="B12" s="12"/>
      <c r="C12" s="24">
        <f ca="1">SLOPE(INDIRECT($G$11):G975,INDIRECT($F$11):F975)</f>
        <v>9.6610171367193294E-7</v>
      </c>
      <c r="D12" s="3"/>
      <c r="E12" s="12"/>
    </row>
    <row r="13" spans="1:8" ht="12.95" customHeight="1" x14ac:dyDescent="0.2">
      <c r="A13" s="12" t="s">
        <v>18</v>
      </c>
      <c r="B13" s="12"/>
      <c r="C13" s="3" t="s">
        <v>12</v>
      </c>
      <c r="D13" s="3"/>
      <c r="E13" s="12"/>
    </row>
    <row r="14" spans="1:8" ht="12.95" customHeight="1" x14ac:dyDescent="0.2">
      <c r="A14" s="12"/>
      <c r="B14" s="12"/>
      <c r="C14" s="12"/>
      <c r="D14" s="12"/>
      <c r="E14" s="12"/>
    </row>
    <row r="15" spans="1:8" ht="12.95" customHeight="1" x14ac:dyDescent="0.2">
      <c r="A15" s="14" t="s">
        <v>16</v>
      </c>
      <c r="B15" s="12"/>
      <c r="C15" s="15">
        <f ca="1">(C7+C11)+(C8+C12)*INT(MAX(F21:F3516))</f>
        <v>52717.396999999997</v>
      </c>
      <c r="D15" s="16" t="s">
        <v>31</v>
      </c>
      <c r="E15" s="17">
        <f ca="1">TODAY()+15018.5-B9/24</f>
        <v>60360.5</v>
      </c>
    </row>
    <row r="16" spans="1:8" ht="12.95" customHeight="1" x14ac:dyDescent="0.2">
      <c r="A16" s="18" t="s">
        <v>3</v>
      </c>
      <c r="B16" s="12"/>
      <c r="C16" s="19">
        <f ca="1">+C8+C12</f>
        <v>1.8355779661017138</v>
      </c>
      <c r="D16" s="16" t="s">
        <v>32</v>
      </c>
      <c r="E16" s="17">
        <f ca="1">ROUND(2*(E15-C15)/C16,0)/2+1</f>
        <v>4165</v>
      </c>
    </row>
    <row r="17" spans="1:17" ht="12.95" customHeight="1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45344.475062146972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52717.396999999997</v>
      </c>
      <c r="D18" s="22">
        <f ca="1">+C16</f>
        <v>1.8355779661017138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45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.95" customHeight="1" x14ac:dyDescent="0.2">
      <c r="A21" s="33" t="s">
        <v>38</v>
      </c>
      <c r="B21" s="32" t="s">
        <v>36</v>
      </c>
      <c r="C21" s="33">
        <f>C7</f>
        <v>52500.798799999997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6.7762635780344027E-21</v>
      </c>
      <c r="Q21" s="2">
        <f>+C21-15018.5</f>
        <v>37482.298799999997</v>
      </c>
    </row>
    <row r="22" spans="1:17" ht="12.95" customHeight="1" x14ac:dyDescent="0.2">
      <c r="A22" s="29" t="s">
        <v>42</v>
      </c>
      <c r="B22" s="34" t="s">
        <v>36</v>
      </c>
      <c r="C22" s="29">
        <v>52717.396999999997</v>
      </c>
      <c r="D22" s="29">
        <v>2E-3</v>
      </c>
      <c r="E22">
        <f>+(C22-C$7)/C$8</f>
        <v>118.00006210581216</v>
      </c>
      <c r="F22">
        <f>ROUND(2*E22,0)/2</f>
        <v>118</v>
      </c>
      <c r="G22">
        <f>+C22-(C$7+F22*C$8)</f>
        <v>1.140000022132881E-4</v>
      </c>
      <c r="I22">
        <f>+G22</f>
        <v>1.140000022132881E-4</v>
      </c>
      <c r="O22">
        <f ca="1">+C$11+C$12*$F22</f>
        <v>1.140000022132881E-4</v>
      </c>
      <c r="Q22" s="2">
        <f>+C22-15018.5</f>
        <v>37698.896999999997</v>
      </c>
    </row>
    <row r="23" spans="1:17" ht="12.95" customHeight="1" x14ac:dyDescent="0.2">
      <c r="C23" s="10"/>
      <c r="D23" s="10"/>
    </row>
    <row r="24" spans="1:17" ht="12.95" customHeight="1" x14ac:dyDescent="0.2">
      <c r="C24" s="10"/>
      <c r="D24" s="10"/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ht="12.95" customHeight="1" x14ac:dyDescent="0.2">
      <c r="C42" s="10"/>
      <c r="D42" s="10"/>
    </row>
    <row r="43" spans="3:4" ht="12.95" customHeight="1" x14ac:dyDescent="0.2">
      <c r="C43" s="10"/>
      <c r="D43" s="10"/>
    </row>
    <row r="44" spans="3:4" ht="12.95" customHeight="1" x14ac:dyDescent="0.2">
      <c r="C44" s="10"/>
      <c r="D44" s="10"/>
    </row>
    <row r="45" spans="3:4" ht="12.95" customHeight="1" x14ac:dyDescent="0.2">
      <c r="C45" s="10"/>
      <c r="D45" s="10"/>
    </row>
    <row r="46" spans="3:4" ht="12.95" customHeight="1" x14ac:dyDescent="0.2">
      <c r="C46" s="10"/>
      <c r="D46" s="10"/>
    </row>
    <row r="47" spans="3:4" ht="12.95" customHeight="1" x14ac:dyDescent="0.2">
      <c r="C47" s="10"/>
      <c r="D47" s="10"/>
    </row>
    <row r="48" spans="3:4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2"/>
  <sheetViews>
    <sheetView workbookViewId="0">
      <selection activeCell="E11" sqref="E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43</v>
      </c>
      <c r="I1" s="36" t="s">
        <v>44</v>
      </c>
      <c r="J1" s="37" t="s">
        <v>45</v>
      </c>
    </row>
    <row r="2" spans="1:16" x14ac:dyDescent="0.2">
      <c r="I2" s="38" t="s">
        <v>46</v>
      </c>
      <c r="J2" s="39" t="s">
        <v>47</v>
      </c>
    </row>
    <row r="3" spans="1:16" x14ac:dyDescent="0.2">
      <c r="A3" s="40" t="s">
        <v>48</v>
      </c>
      <c r="I3" s="38" t="s">
        <v>49</v>
      </c>
      <c r="J3" s="39" t="s">
        <v>50</v>
      </c>
    </row>
    <row r="4" spans="1:16" x14ac:dyDescent="0.2">
      <c r="I4" s="38" t="s">
        <v>51</v>
      </c>
      <c r="J4" s="39" t="s">
        <v>50</v>
      </c>
    </row>
    <row r="5" spans="1:16" ht="13.5" thickBot="1" x14ac:dyDescent="0.25">
      <c r="I5" s="41" t="s">
        <v>52</v>
      </c>
      <c r="J5" s="42" t="s">
        <v>53</v>
      </c>
    </row>
    <row r="10" spans="1:16" ht="13.5" thickBot="1" x14ac:dyDescent="0.25"/>
    <row r="11" spans="1:16" ht="12.75" customHeight="1" thickBot="1" x14ac:dyDescent="0.25">
      <c r="A11" s="10" t="str">
        <f>P11</f>
        <v> BBS 129 </v>
      </c>
      <c r="B11" s="3" t="str">
        <f>IF(H11=INT(H11),"I","II")</f>
        <v>I</v>
      </c>
      <c r="C11" s="10">
        <f>1*G11</f>
        <v>52717.396999999997</v>
      </c>
      <c r="D11" s="12" t="str">
        <f>VLOOKUP(F11,I$1:J$5,2,FALSE)</f>
        <v>vis</v>
      </c>
      <c r="E11" s="43">
        <f>VLOOKUP(C11,Active!C$21:E$973,3,FALSE)</f>
        <v>118.00006210581216</v>
      </c>
      <c r="F11" s="3" t="s">
        <v>52</v>
      </c>
      <c r="G11" s="12" t="str">
        <f>MID(I11,3,LEN(I11)-3)</f>
        <v>52717.397</v>
      </c>
      <c r="H11" s="10">
        <f>1*K11</f>
        <v>12171</v>
      </c>
      <c r="I11" s="44" t="s">
        <v>54</v>
      </c>
      <c r="J11" s="45" t="s">
        <v>55</v>
      </c>
      <c r="K11" s="44">
        <v>12171</v>
      </c>
      <c r="L11" s="44" t="s">
        <v>56</v>
      </c>
      <c r="M11" s="45" t="s">
        <v>57</v>
      </c>
      <c r="N11" s="45" t="s">
        <v>58</v>
      </c>
      <c r="O11" s="46" t="s">
        <v>59</v>
      </c>
      <c r="P11" s="46" t="s">
        <v>60</v>
      </c>
    </row>
    <row r="12" spans="1:16" x14ac:dyDescent="0.2">
      <c r="B12" s="3"/>
      <c r="E12" s="43"/>
      <c r="F12" s="3"/>
    </row>
    <row r="13" spans="1:16" x14ac:dyDescent="0.2">
      <c r="B13" s="3"/>
      <c r="E13" s="43"/>
      <c r="F13" s="3"/>
    </row>
    <row r="14" spans="1:16" x14ac:dyDescent="0.2">
      <c r="B14" s="3"/>
      <c r="E14" s="4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2024-02-20T04:49:28Z</dcterms:modified>
</cp:coreProperties>
</file>