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3008048-225B-4F7F-B0F6-B19CF1B211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H35" i="1"/>
  <c r="E36" i="1"/>
  <c r="F36" i="1"/>
  <c r="G36" i="1"/>
  <c r="I36" i="1"/>
  <c r="E37" i="1"/>
  <c r="F37" i="1"/>
  <c r="G37" i="1"/>
  <c r="I3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G12" i="2"/>
  <c r="C12" i="2"/>
  <c r="E12" i="2"/>
  <c r="G11" i="2"/>
  <c r="C11" i="2"/>
  <c r="E11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11" i="2"/>
  <c r="D11" i="2"/>
  <c r="B11" i="2"/>
  <c r="A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G11" i="1"/>
  <c r="F11" i="1"/>
  <c r="Q36" i="1"/>
  <c r="Q37" i="1"/>
  <c r="E14" i="1"/>
  <c r="C17" i="1"/>
  <c r="Q35" i="1"/>
  <c r="C12" i="1"/>
  <c r="C16" i="1" l="1"/>
  <c r="D18" i="1" s="1"/>
  <c r="E15" i="1"/>
  <c r="C11" i="1"/>
  <c r="O35" i="1" l="1"/>
  <c r="O37" i="1"/>
  <c r="O29" i="1"/>
  <c r="O25" i="1"/>
  <c r="O33" i="1"/>
  <c r="O32" i="1"/>
  <c r="O31" i="1"/>
  <c r="O36" i="1"/>
  <c r="O21" i="1"/>
  <c r="O23" i="1"/>
  <c r="O22" i="1"/>
  <c r="O26" i="1"/>
  <c r="O28" i="1"/>
  <c r="O27" i="1"/>
  <c r="O30" i="1"/>
  <c r="O34" i="1"/>
  <c r="O24" i="1"/>
  <c r="C15" i="1"/>
  <c r="C18" i="1" l="1"/>
  <c r="E16" i="1"/>
  <c r="E17" i="1" s="1"/>
</calcChain>
</file>

<file path=xl/sharedStrings.xml><?xml version="1.0" encoding="utf-8"?>
<sst xmlns="http://schemas.openxmlformats.org/spreadsheetml/2006/main" count="219" uniqueCount="117">
  <si>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</si>
  <si>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</si>
  <si>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</si>
  <si>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</si>
  <si>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</si>
  <si>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</si>
  <si>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</si>
  <si>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</si>
  <si>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</si>
  <si>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</si>
  <si>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</si>
  <si>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</si>
  <si>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</si>
  <si>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</si>
  <si>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</si>
  <si>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</si>
  <si>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</si>
  <si>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</si>
  <si>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</si>
  <si>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</si>
  <si>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</si>
  <si>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</si>
  <si>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</si>
  <si>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</si>
  <si>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</si>
  <si>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</si>
  <si>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</si>
  <si>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</si>
  <si>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</si>
  <si>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</si>
  <si>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</si>
  <si>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</si>
  <si>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</si>
  <si>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</si>
  <si>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</si>
  <si>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</si>
  <si>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</si>
  <si>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</si>
  <si>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</si>
  <si>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</si>
  <si>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IM Mon</t>
  </si>
  <si>
    <t>IM Mon / GSC 4789-3298</t>
  </si>
  <si>
    <t>EB/KE</t>
  </si>
  <si>
    <t>Kreiner</t>
  </si>
  <si>
    <t>IBVS 5690</t>
  </si>
  <si>
    <t>I</t>
  </si>
  <si>
    <t>IBVS 6007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</si>
  <si>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</si>
  <si>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</si>
  <si>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</si>
  <si>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</si>
  <si>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</si>
  <si>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</si>
  <si>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</si>
  <si>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</si>
  <si>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</si>
  <si>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</si>
  <si>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</si>
  <si>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</si>
  <si>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2433270.523 </t>
  </si>
  <si>
    <t> 20.12.1949 00:33 </t>
  </si>
  <si>
    <t> -0.016 </t>
  </si>
  <si>
    <t>E </t>
  </si>
  <si>
    <t>?</t>
  </si>
  <si>
    <t> C.S.Gum </t>
  </si>
  <si>
    <t> MN 111.634 </t>
  </si>
  <si>
    <t>2433340.168 </t>
  </si>
  <si>
    <t> 27.02.1950 16:01 </t>
  </si>
  <si>
    <t> 0.000 </t>
  </si>
  <si>
    <t>2437279.259 </t>
  </si>
  <si>
    <t> 10.12.1960 18:12 </t>
  </si>
  <si>
    <t> -0.018 </t>
  </si>
  <si>
    <t> A.Sanyal et al. </t>
  </si>
  <si>
    <t> BAC 16.209 </t>
  </si>
  <si>
    <t>2437314.372 </t>
  </si>
  <si>
    <t> 14.01.1961 20:55 </t>
  </si>
  <si>
    <t> -0.017 </t>
  </si>
  <si>
    <t>2438005.309 </t>
  </si>
  <si>
    <t> 06.12.1962 19:24 </t>
  </si>
  <si>
    <t>2438008.303 </t>
  </si>
  <si>
    <t> 09.12.1962 19:16 </t>
  </si>
  <si>
    <t> 0.002 </t>
  </si>
  <si>
    <t>2438014.242 </t>
  </si>
  <si>
    <t> 15.12.1962 17:48 </t>
  </si>
  <si>
    <t> -0.010 </t>
  </si>
  <si>
    <t>2438017.232 </t>
  </si>
  <si>
    <t> 18.12.1962 17:34 </t>
  </si>
  <si>
    <t> 0.004 </t>
  </si>
  <si>
    <t>2438039.246 </t>
  </si>
  <si>
    <t> 09.01.1963 17:54 </t>
  </si>
  <si>
    <t> -0.001 </t>
  </si>
  <si>
    <t>2438048.169 </t>
  </si>
  <si>
    <t> 18.01.1963 16:03 </t>
  </si>
  <si>
    <t> -0.005 </t>
  </si>
  <si>
    <t>2438346.325 </t>
  </si>
  <si>
    <t> 12.11.1963 19:48 </t>
  </si>
  <si>
    <t>2438380.246 </t>
  </si>
  <si>
    <t> 16.12.1963 17:54 </t>
  </si>
  <si>
    <t> -0.006 </t>
  </si>
  <si>
    <t>2438383.225 </t>
  </si>
  <si>
    <t> 19.12.1963 17:24 </t>
  </si>
  <si>
    <t>2438386.190 </t>
  </si>
  <si>
    <t> 22.12.1963 16:33 </t>
  </si>
  <si>
    <t> -0.013 </t>
  </si>
  <si>
    <t>2453432.638 </t>
  </si>
  <si>
    <t> 03.03.2005 03:18 </t>
  </si>
  <si>
    <t> -0.022 </t>
  </si>
  <si>
    <t> T. Krajci </t>
  </si>
  <si>
    <t>IBVS 5690 </t>
  </si>
  <si>
    <t>2455595.31194 </t>
  </si>
  <si>
    <t> 02.02.2011 19:29 </t>
  </si>
  <si>
    <t> -0.01967 </t>
  </si>
  <si>
    <t>C </t>
  </si>
  <si>
    <t> R.Uhlar </t>
  </si>
  <si>
    <t>IBVS 6007 </t>
  </si>
  <si>
    <t>II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</si>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</sst>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Mon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38-40AC-BFCC-FF13D35C0F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5">
                  <c:v>-6.7991999967489392E-3</c:v>
                </c:pt>
                <c:pt idx="16">
                  <c:v>-3.2999999966705218E-3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38-40AC-BFCC-FF13D35C0F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38-40AC-BFCC-FF13D35C0F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-1.0664399997040164E-2</c:v>
                </c:pt>
                <c:pt idx="1">
                  <c:v>5.1552000004448928E-3</c:v>
                </c:pt>
                <c:pt idx="2">
                  <c:v>-1.1067599996749777E-2</c:v>
                </c:pt>
                <c:pt idx="3">
                  <c:v>-1.0218399991572369E-2</c:v>
                </c:pt>
                <c:pt idx="4">
                  <c:v>-8.9315999939572066E-3</c:v>
                </c:pt>
                <c:pt idx="5">
                  <c:v>9.4624000048497692E-3</c:v>
                </c:pt>
                <c:pt idx="6">
                  <c:v>-2.7495999966049567E-3</c:v>
                </c:pt>
                <c:pt idx="7">
                  <c:v>1.1644400008663069E-2</c:v>
                </c:pt>
                <c:pt idx="8">
                  <c:v>6.1600000044563785E-3</c:v>
                </c:pt>
                <c:pt idx="9">
                  <c:v>2.3420000070473179E-3</c:v>
                </c:pt>
                <c:pt idx="10">
                  <c:v>2.6207999981124885E-3</c:v>
                </c:pt>
                <c:pt idx="11">
                  <c:v>1.7124000005424023E-3</c:v>
                </c:pt>
                <c:pt idx="12">
                  <c:v>5.1063999999314547E-3</c:v>
                </c:pt>
                <c:pt idx="13">
                  <c:v>-5.4995999962557107E-3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38-40AC-BFCC-FF13D35C0F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38-40AC-BFCC-FF13D35C0F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38-40AC-BFCC-FF13D35C0F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4">
                    <c:v>0</c:v>
                  </c:pt>
                  <c:pt idx="15">
                    <c:v>1.5E-3</c:v>
                  </c:pt>
                  <c:pt idx="1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38-40AC-BFCC-FF13D35C0F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-4.8556547449527063E-5</c:v>
                </c:pt>
                <c:pt idx="1">
                  <c:v>-5.6882647972099007E-5</c:v>
                </c:pt>
                <c:pt idx="2">
                  <c:v>-5.2791221514221671E-4</c:v>
                </c:pt>
                <c:pt idx="3">
                  <c:v>-5.3211084702966768E-4</c:v>
                </c:pt>
                <c:pt idx="4">
                  <c:v>-6.1473138298442009E-4</c:v>
                </c:pt>
                <c:pt idx="5">
                  <c:v>-6.1508719924606848E-4</c:v>
                </c:pt>
                <c:pt idx="6">
                  <c:v>-6.1579883176936527E-4</c:v>
                </c:pt>
                <c:pt idx="7">
                  <c:v>-6.1615464803101367E-4</c:v>
                </c:pt>
                <c:pt idx="8">
                  <c:v>-6.1878768836721152E-4</c:v>
                </c:pt>
                <c:pt idx="9">
                  <c:v>-6.198551371521567E-4</c:v>
                </c:pt>
                <c:pt idx="10">
                  <c:v>-6.5550792656932371E-4</c:v>
                </c:pt>
                <c:pt idx="11">
                  <c:v>-6.5956423195211514E-4</c:v>
                </c:pt>
                <c:pt idx="12">
                  <c:v>-6.5992004821376353E-4</c:v>
                </c:pt>
                <c:pt idx="13">
                  <c:v>-6.6027586447541193E-4</c:v>
                </c:pt>
                <c:pt idx="14">
                  <c:v>-2.3480547199783096E-3</c:v>
                </c:pt>
                <c:pt idx="15">
                  <c:v>-2.4594963731265802E-3</c:v>
                </c:pt>
                <c:pt idx="16">
                  <c:v>-2.7181036320926186E-3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38-40AC-BFCC-FF13D35C0F5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-16156.5</c:v>
                </c:pt>
                <c:pt idx="1">
                  <c:v>-16098</c:v>
                </c:pt>
                <c:pt idx="2">
                  <c:v>-12788.5</c:v>
                </c:pt>
                <c:pt idx="3">
                  <c:v>-12759</c:v>
                </c:pt>
                <c:pt idx="4">
                  <c:v>-12178.5</c:v>
                </c:pt>
                <c:pt idx="5">
                  <c:v>-12176</c:v>
                </c:pt>
                <c:pt idx="6">
                  <c:v>-12171</c:v>
                </c:pt>
                <c:pt idx="7">
                  <c:v>-12168.5</c:v>
                </c:pt>
                <c:pt idx="8">
                  <c:v>-12150</c:v>
                </c:pt>
                <c:pt idx="9">
                  <c:v>-12142.5</c:v>
                </c:pt>
                <c:pt idx="10">
                  <c:v>-11892</c:v>
                </c:pt>
                <c:pt idx="11">
                  <c:v>-11863.5</c:v>
                </c:pt>
                <c:pt idx="12">
                  <c:v>-11861</c:v>
                </c:pt>
                <c:pt idx="13">
                  <c:v>-11858.5</c:v>
                </c:pt>
                <c:pt idx="14">
                  <c:v>0</c:v>
                </c:pt>
                <c:pt idx="15">
                  <c:v>783</c:v>
                </c:pt>
                <c:pt idx="16">
                  <c:v>2600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38-40AC-BFCC-FF13D35C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57024"/>
        <c:axId val="1"/>
      </c:scatterChart>
      <c:valAx>
        <c:axId val="291157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1157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0FEA77-B49A-9AFB-6E25-FFC4F278E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5" t="s">
        <v>40</v>
      </c>
    </row>
    <row r="2" spans="1:7" s="21" customFormat="1" ht="12.95" customHeight="1" x14ac:dyDescent="0.2">
      <c r="A2" s="21" t="s">
        <v>24</v>
      </c>
      <c r="B2" s="21" t="s">
        <v>42</v>
      </c>
      <c r="C2" s="22"/>
      <c r="D2" s="22"/>
      <c r="E2" s="21">
        <v>0</v>
      </c>
    </row>
    <row r="3" spans="1:7" s="21" customFormat="1" ht="12.95" customHeight="1" thickBot="1" x14ac:dyDescent="0.25"/>
    <row r="4" spans="1:7" s="21" customFormat="1" ht="12.95" customHeight="1" thickTop="1" thickBot="1" x14ac:dyDescent="0.25">
      <c r="A4" s="23" t="s">
        <v>0</v>
      </c>
      <c r="C4" s="24">
        <v>52500.684999999998</v>
      </c>
      <c r="D4" s="25">
        <v>1.1902424</v>
      </c>
    </row>
    <row r="5" spans="1:7" s="21" customFormat="1" ht="12.95" customHeight="1" x14ac:dyDescent="0.2"/>
    <row r="6" spans="1:7" s="21" customFormat="1" ht="12.95" customHeight="1" x14ac:dyDescent="0.2">
      <c r="A6" s="23" t="s">
        <v>1</v>
      </c>
    </row>
    <row r="7" spans="1:7" s="21" customFormat="1" ht="12.95" customHeight="1" x14ac:dyDescent="0.2">
      <c r="A7" s="21" t="s">
        <v>2</v>
      </c>
      <c r="C7" s="21">
        <v>52500.684999999998</v>
      </c>
    </row>
    <row r="8" spans="1:7" s="21" customFormat="1" ht="12.95" customHeight="1" x14ac:dyDescent="0.2">
      <c r="A8" s="21" t="s">
        <v>3</v>
      </c>
      <c r="C8" s="21">
        <v>1.1902424</v>
      </c>
    </row>
    <row r="9" spans="1:7" s="21" customFormat="1" ht="12.95" customHeight="1" x14ac:dyDescent="0.2">
      <c r="A9" s="26" t="s">
        <v>29</v>
      </c>
      <c r="C9" s="27">
        <v>-9.5</v>
      </c>
      <c r="D9" s="21" t="s">
        <v>30</v>
      </c>
    </row>
    <row r="10" spans="1:7" s="21" customFormat="1" ht="12.95" customHeight="1" thickBot="1" x14ac:dyDescent="0.25">
      <c r="C10" s="28" t="s">
        <v>20</v>
      </c>
      <c r="D10" s="28" t="s">
        <v>21</v>
      </c>
    </row>
    <row r="11" spans="1:7" s="21" customFormat="1" ht="12.95" customHeight="1" x14ac:dyDescent="0.2">
      <c r="A11" s="21" t="s">
        <v>15</v>
      </c>
      <c r="C11" s="29">
        <f ca="1">INTERCEPT(INDIRECT($G$11):G992,INDIRECT($F$11):F992)</f>
        <v>-2.3480547199783096E-3</v>
      </c>
      <c r="D11" s="22"/>
      <c r="F11" s="30" t="str">
        <f>"F"&amp;E19</f>
        <v>F21</v>
      </c>
      <c r="G11" s="29" t="str">
        <f>"G"&amp;E19</f>
        <v>G21</v>
      </c>
    </row>
    <row r="12" spans="1:7" s="21" customFormat="1" ht="12.95" customHeight="1" x14ac:dyDescent="0.2">
      <c r="A12" s="21" t="s">
        <v>16</v>
      </c>
      <c r="C12" s="29">
        <f ca="1">SLOPE(INDIRECT($G$11):G992,INDIRECT($F$11):F992)</f>
        <v>-1.4232650465934964E-7</v>
      </c>
      <c r="D12" s="22"/>
    </row>
    <row r="13" spans="1:7" s="21" customFormat="1" ht="12.95" customHeight="1" x14ac:dyDescent="0.2">
      <c r="A13" s="21" t="s">
        <v>19</v>
      </c>
      <c r="C13" s="22" t="s">
        <v>13</v>
      </c>
      <c r="D13" s="31" t="s">
        <v>38</v>
      </c>
      <c r="E13" s="27">
        <v>1</v>
      </c>
    </row>
    <row r="14" spans="1:7" s="21" customFormat="1" ht="12.95" customHeight="1" x14ac:dyDescent="0.2">
      <c r="D14" s="31" t="s">
        <v>31</v>
      </c>
      <c r="E14" s="32">
        <f ca="1">NOW()+15018.5+$C$9/24</f>
        <v>60360.755154398146</v>
      </c>
    </row>
    <row r="15" spans="1:7" s="21" customFormat="1" ht="12.95" customHeight="1" x14ac:dyDescent="0.2">
      <c r="A15" s="33" t="s">
        <v>17</v>
      </c>
      <c r="C15" s="34">
        <f ca="1">(C7+C11)+(C8+C12)*INT(MAX(F21:F3533))</f>
        <v>55595.312521896369</v>
      </c>
      <c r="D15" s="31" t="s">
        <v>39</v>
      </c>
      <c r="E15" s="32">
        <f ca="1">ROUND(2*(E14-$C$7)/$C$8,0)/2+E13</f>
        <v>6605</v>
      </c>
    </row>
    <row r="16" spans="1:7" s="21" customFormat="1" ht="12.95" customHeight="1" x14ac:dyDescent="0.2">
      <c r="A16" s="23" t="s">
        <v>4</v>
      </c>
      <c r="C16" s="35">
        <f ca="1">+C8+C12</f>
        <v>1.1902422576734955</v>
      </c>
      <c r="D16" s="31" t="s">
        <v>32</v>
      </c>
      <c r="E16" s="29">
        <f ca="1">ROUND(2*(E14-$C$15)/$C$16,0)/2+E13</f>
        <v>4005</v>
      </c>
    </row>
    <row r="17" spans="1:18" s="21" customFormat="1" ht="12.95" customHeight="1" thickBot="1" x14ac:dyDescent="0.25">
      <c r="A17" s="31" t="s">
        <v>28</v>
      </c>
      <c r="C17" s="21">
        <f>COUNT(C21:C2191)</f>
        <v>17</v>
      </c>
      <c r="D17" s="31" t="s">
        <v>33</v>
      </c>
      <c r="E17" s="36">
        <f ca="1">+$C$15+$C$16*E16-15018.5-$C$9/24</f>
        <v>45344.128597212053</v>
      </c>
    </row>
    <row r="18" spans="1:18" s="21" customFormat="1" ht="12.95" customHeight="1" thickTop="1" thickBot="1" x14ac:dyDescent="0.25">
      <c r="A18" s="23" t="s">
        <v>5</v>
      </c>
      <c r="C18" s="37">
        <f ca="1">+C15</f>
        <v>55595.312521896369</v>
      </c>
      <c r="D18" s="38">
        <f ca="1">+C16</f>
        <v>1.1902422576734955</v>
      </c>
      <c r="E18" s="39" t="s">
        <v>34</v>
      </c>
    </row>
    <row r="19" spans="1:18" s="21" customFormat="1" ht="12.95" customHeight="1" thickTop="1" x14ac:dyDescent="0.2">
      <c r="A19" s="5" t="s">
        <v>35</v>
      </c>
      <c r="E19" s="40">
        <v>21</v>
      </c>
    </row>
    <row r="20" spans="1:18" s="21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41" t="s">
        <v>36</v>
      </c>
      <c r="I20" s="41" t="s">
        <v>49</v>
      </c>
      <c r="J20" s="41" t="s">
        <v>18</v>
      </c>
      <c r="K20" s="41" t="s">
        <v>116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28" t="s">
        <v>14</v>
      </c>
      <c r="R20" s="43" t="s">
        <v>37</v>
      </c>
    </row>
    <row r="21" spans="1:18" s="21" customFormat="1" ht="12.95" customHeight="1" x14ac:dyDescent="0.2">
      <c r="A21" s="44" t="s">
        <v>65</v>
      </c>
      <c r="B21" s="45" t="s">
        <v>115</v>
      </c>
      <c r="C21" s="46">
        <v>33270.523000000001</v>
      </c>
      <c r="D21" s="47"/>
      <c r="E21" s="21">
        <f t="shared" ref="E21:E37" si="0">+(C21-C$7)/C$8</f>
        <v>-16156.50895985557</v>
      </c>
      <c r="F21" s="21">
        <f t="shared" ref="F21:F37" si="1">ROUND(2*E21,0)/2</f>
        <v>-16156.5</v>
      </c>
      <c r="G21" s="21">
        <f t="shared" ref="G21:G37" si="2">+C21-(C$7+F21*C$8)</f>
        <v>-1.0664399997040164E-2</v>
      </c>
      <c r="K21" s="21">
        <f t="shared" ref="K21:K34" si="3">+G21</f>
        <v>-1.0664399997040164E-2</v>
      </c>
      <c r="O21" s="21">
        <f t="shared" ref="O21:O37" ca="1" si="4">+C$11+C$12*$F21</f>
        <v>-4.8556547449527063E-5</v>
      </c>
      <c r="Q21" s="48">
        <f t="shared" ref="Q21:Q37" si="5">+C21-15018.5</f>
        <v>18252.023000000001</v>
      </c>
    </row>
    <row r="22" spans="1:18" s="21" customFormat="1" ht="12.95" customHeight="1" x14ac:dyDescent="0.2">
      <c r="A22" s="44" t="s">
        <v>65</v>
      </c>
      <c r="B22" s="45" t="s">
        <v>45</v>
      </c>
      <c r="C22" s="46">
        <v>33340.167999999998</v>
      </c>
      <c r="D22" s="47"/>
      <c r="E22" s="21">
        <f t="shared" si="0"/>
        <v>-16097.995668781417</v>
      </c>
      <c r="F22" s="21">
        <f t="shared" si="1"/>
        <v>-16098</v>
      </c>
      <c r="G22" s="21">
        <f t="shared" si="2"/>
        <v>5.1552000004448928E-3</v>
      </c>
      <c r="K22" s="21">
        <f t="shared" si="3"/>
        <v>5.1552000004448928E-3</v>
      </c>
      <c r="O22" s="21">
        <f t="shared" ca="1" si="4"/>
        <v>-5.6882647972099007E-5</v>
      </c>
      <c r="Q22" s="48">
        <f t="shared" si="5"/>
        <v>18321.667999999998</v>
      </c>
    </row>
    <row r="23" spans="1:18" s="21" customFormat="1" ht="12.95" customHeight="1" x14ac:dyDescent="0.2">
      <c r="A23" s="44" t="s">
        <v>73</v>
      </c>
      <c r="B23" s="45" t="s">
        <v>115</v>
      </c>
      <c r="C23" s="46">
        <v>37279.258999999998</v>
      </c>
      <c r="D23" s="47"/>
      <c r="E23" s="21">
        <f t="shared" si="0"/>
        <v>-12788.509298610097</v>
      </c>
      <c r="F23" s="21">
        <f t="shared" si="1"/>
        <v>-12788.5</v>
      </c>
      <c r="G23" s="21">
        <f t="shared" si="2"/>
        <v>-1.1067599996749777E-2</v>
      </c>
      <c r="K23" s="21">
        <f t="shared" si="3"/>
        <v>-1.1067599996749777E-2</v>
      </c>
      <c r="O23" s="21">
        <f t="shared" ca="1" si="4"/>
        <v>-5.2791221514221671E-4</v>
      </c>
      <c r="Q23" s="48">
        <f t="shared" si="5"/>
        <v>22260.758999999998</v>
      </c>
    </row>
    <row r="24" spans="1:18" s="21" customFormat="1" ht="12.95" customHeight="1" x14ac:dyDescent="0.2">
      <c r="A24" s="44" t="s">
        <v>73</v>
      </c>
      <c r="B24" s="45" t="s">
        <v>45</v>
      </c>
      <c r="C24" s="46">
        <v>37314.372000000003</v>
      </c>
      <c r="D24" s="47"/>
      <c r="E24" s="21">
        <f t="shared" si="0"/>
        <v>-12759.008585141979</v>
      </c>
      <c r="F24" s="21">
        <f t="shared" si="1"/>
        <v>-12759</v>
      </c>
      <c r="G24" s="21">
        <f t="shared" si="2"/>
        <v>-1.0218399991572369E-2</v>
      </c>
      <c r="K24" s="21">
        <f t="shared" si="3"/>
        <v>-1.0218399991572369E-2</v>
      </c>
      <c r="O24" s="21">
        <f t="shared" ca="1" si="4"/>
        <v>-5.3211084702966768E-4</v>
      </c>
      <c r="Q24" s="48">
        <f t="shared" si="5"/>
        <v>22295.872000000003</v>
      </c>
    </row>
    <row r="25" spans="1:18" s="21" customFormat="1" ht="12.95" customHeight="1" x14ac:dyDescent="0.2">
      <c r="A25" s="44" t="s">
        <v>73</v>
      </c>
      <c r="B25" s="45" t="s">
        <v>115</v>
      </c>
      <c r="C25" s="46">
        <v>38005.309000000001</v>
      </c>
      <c r="D25" s="47"/>
      <c r="E25" s="21">
        <f t="shared" si="0"/>
        <v>-12178.507504017665</v>
      </c>
      <c r="F25" s="21">
        <f t="shared" si="1"/>
        <v>-12178.5</v>
      </c>
      <c r="G25" s="21">
        <f t="shared" si="2"/>
        <v>-8.9315999939572066E-3</v>
      </c>
      <c r="K25" s="21">
        <f t="shared" si="3"/>
        <v>-8.9315999939572066E-3</v>
      </c>
      <c r="O25" s="21">
        <f t="shared" ca="1" si="4"/>
        <v>-6.1473138298442009E-4</v>
      </c>
      <c r="Q25" s="48">
        <f t="shared" si="5"/>
        <v>22986.809000000001</v>
      </c>
    </row>
    <row r="26" spans="1:18" s="21" customFormat="1" ht="12.95" customHeight="1" x14ac:dyDescent="0.2">
      <c r="A26" s="44" t="s">
        <v>73</v>
      </c>
      <c r="B26" s="45" t="s">
        <v>45</v>
      </c>
      <c r="C26" s="46">
        <v>38008.303</v>
      </c>
      <c r="D26" s="47"/>
      <c r="E26" s="21">
        <f t="shared" si="0"/>
        <v>-12175.992050022749</v>
      </c>
      <c r="F26" s="21">
        <f t="shared" si="1"/>
        <v>-12176</v>
      </c>
      <c r="G26" s="21">
        <f t="shared" si="2"/>
        <v>9.4624000048497692E-3</v>
      </c>
      <c r="K26" s="21">
        <f t="shared" si="3"/>
        <v>9.4624000048497692E-3</v>
      </c>
      <c r="O26" s="21">
        <f t="shared" ca="1" si="4"/>
        <v>-6.1508719924606848E-4</v>
      </c>
      <c r="Q26" s="48">
        <f t="shared" si="5"/>
        <v>22989.803</v>
      </c>
    </row>
    <row r="27" spans="1:18" s="21" customFormat="1" ht="12.95" customHeight="1" x14ac:dyDescent="0.2">
      <c r="A27" s="44" t="s">
        <v>73</v>
      </c>
      <c r="B27" s="45" t="s">
        <v>45</v>
      </c>
      <c r="C27" s="46">
        <v>38014.241999999998</v>
      </c>
      <c r="D27" s="47"/>
      <c r="E27" s="21">
        <f t="shared" si="0"/>
        <v>-12171.002310117668</v>
      </c>
      <c r="F27" s="21">
        <f t="shared" si="1"/>
        <v>-12171</v>
      </c>
      <c r="G27" s="21">
        <f t="shared" si="2"/>
        <v>-2.7495999966049567E-3</v>
      </c>
      <c r="K27" s="21">
        <f t="shared" si="3"/>
        <v>-2.7495999966049567E-3</v>
      </c>
      <c r="O27" s="21">
        <f t="shared" ca="1" si="4"/>
        <v>-6.1579883176936527E-4</v>
      </c>
      <c r="Q27" s="48">
        <f t="shared" si="5"/>
        <v>22995.741999999998</v>
      </c>
    </row>
    <row r="28" spans="1:18" s="21" customFormat="1" ht="12.95" customHeight="1" x14ac:dyDescent="0.2">
      <c r="A28" s="44" t="s">
        <v>73</v>
      </c>
      <c r="B28" s="45" t="s">
        <v>115</v>
      </c>
      <c r="C28" s="46">
        <v>38017.232000000004</v>
      </c>
      <c r="D28" s="47"/>
      <c r="E28" s="21">
        <f t="shared" si="0"/>
        <v>-12168.490216782728</v>
      </c>
      <c r="F28" s="21">
        <f t="shared" si="1"/>
        <v>-12168.5</v>
      </c>
      <c r="G28" s="21">
        <f t="shared" si="2"/>
        <v>1.1644400008663069E-2</v>
      </c>
      <c r="K28" s="21">
        <f t="shared" si="3"/>
        <v>1.1644400008663069E-2</v>
      </c>
      <c r="O28" s="21">
        <f t="shared" ca="1" si="4"/>
        <v>-6.1615464803101367E-4</v>
      </c>
      <c r="Q28" s="48">
        <f t="shared" si="5"/>
        <v>22998.732000000004</v>
      </c>
    </row>
    <row r="29" spans="1:18" s="21" customFormat="1" ht="12.95" customHeight="1" x14ac:dyDescent="0.2">
      <c r="A29" s="44" t="s">
        <v>73</v>
      </c>
      <c r="B29" s="45" t="s">
        <v>45</v>
      </c>
      <c r="C29" s="46">
        <v>38039.245999999999</v>
      </c>
      <c r="D29" s="47"/>
      <c r="E29" s="21">
        <f t="shared" si="0"/>
        <v>-12149.994824583629</v>
      </c>
      <c r="F29" s="21">
        <f t="shared" si="1"/>
        <v>-12150</v>
      </c>
      <c r="G29" s="21">
        <f t="shared" si="2"/>
        <v>6.1600000044563785E-3</v>
      </c>
      <c r="K29" s="21">
        <f t="shared" si="3"/>
        <v>6.1600000044563785E-3</v>
      </c>
      <c r="O29" s="21">
        <f t="shared" ca="1" si="4"/>
        <v>-6.1878768836721152E-4</v>
      </c>
      <c r="Q29" s="48">
        <f t="shared" si="5"/>
        <v>23020.745999999999</v>
      </c>
    </row>
    <row r="30" spans="1:18" s="21" customFormat="1" ht="12.95" customHeight="1" x14ac:dyDescent="0.2">
      <c r="A30" s="44" t="s">
        <v>73</v>
      </c>
      <c r="B30" s="45" t="s">
        <v>115</v>
      </c>
      <c r="C30" s="46">
        <v>38048.169000000002</v>
      </c>
      <c r="D30" s="47"/>
      <c r="E30" s="21">
        <f t="shared" si="0"/>
        <v>-12142.498032333579</v>
      </c>
      <c r="F30" s="21">
        <f t="shared" si="1"/>
        <v>-12142.5</v>
      </c>
      <c r="G30" s="21">
        <f t="shared" si="2"/>
        <v>2.3420000070473179E-3</v>
      </c>
      <c r="K30" s="21">
        <f t="shared" si="3"/>
        <v>2.3420000070473179E-3</v>
      </c>
      <c r="O30" s="21">
        <f t="shared" ca="1" si="4"/>
        <v>-6.198551371521567E-4</v>
      </c>
      <c r="Q30" s="48">
        <f t="shared" si="5"/>
        <v>23029.669000000002</v>
      </c>
    </row>
    <row r="31" spans="1:18" s="21" customFormat="1" ht="12.95" customHeight="1" x14ac:dyDescent="0.2">
      <c r="A31" s="44" t="s">
        <v>73</v>
      </c>
      <c r="B31" s="45" t="s">
        <v>45</v>
      </c>
      <c r="C31" s="46">
        <v>38346.324999999997</v>
      </c>
      <c r="D31" s="47"/>
      <c r="E31" s="21">
        <f t="shared" si="0"/>
        <v>-11891.997798095581</v>
      </c>
      <c r="F31" s="21">
        <f t="shared" si="1"/>
        <v>-11892</v>
      </c>
      <c r="G31" s="21">
        <f t="shared" si="2"/>
        <v>2.6207999981124885E-3</v>
      </c>
      <c r="K31" s="21">
        <f t="shared" si="3"/>
        <v>2.6207999981124885E-3</v>
      </c>
      <c r="O31" s="21">
        <f t="shared" ca="1" si="4"/>
        <v>-6.5550792656932371E-4</v>
      </c>
      <c r="Q31" s="48">
        <f t="shared" si="5"/>
        <v>23327.824999999997</v>
      </c>
    </row>
    <row r="32" spans="1:18" s="21" customFormat="1" ht="12.95" customHeight="1" x14ac:dyDescent="0.2">
      <c r="A32" s="44" t="s">
        <v>73</v>
      </c>
      <c r="B32" s="45" t="s">
        <v>115</v>
      </c>
      <c r="C32" s="46">
        <v>38380.245999999999</v>
      </c>
      <c r="D32" s="47"/>
      <c r="E32" s="21">
        <f t="shared" si="0"/>
        <v>-11863.498561301461</v>
      </c>
      <c r="F32" s="21">
        <f t="shared" si="1"/>
        <v>-11863.5</v>
      </c>
      <c r="G32" s="21">
        <f t="shared" si="2"/>
        <v>1.7124000005424023E-3</v>
      </c>
      <c r="K32" s="21">
        <f t="shared" si="3"/>
        <v>1.7124000005424023E-3</v>
      </c>
      <c r="O32" s="21">
        <f t="shared" ca="1" si="4"/>
        <v>-6.5956423195211514E-4</v>
      </c>
      <c r="Q32" s="48">
        <f t="shared" si="5"/>
        <v>23361.745999999999</v>
      </c>
    </row>
    <row r="33" spans="1:17" s="21" customFormat="1" ht="12.95" customHeight="1" x14ac:dyDescent="0.2">
      <c r="A33" s="44" t="s">
        <v>73</v>
      </c>
      <c r="B33" s="45" t="s">
        <v>45</v>
      </c>
      <c r="C33" s="46">
        <v>38383.224999999999</v>
      </c>
      <c r="D33" s="47"/>
      <c r="E33" s="21">
        <f t="shared" si="0"/>
        <v>-11860.995709781469</v>
      </c>
      <c r="F33" s="21">
        <f t="shared" si="1"/>
        <v>-11861</v>
      </c>
      <c r="G33" s="21">
        <f t="shared" si="2"/>
        <v>5.1063999999314547E-3</v>
      </c>
      <c r="K33" s="21">
        <f t="shared" si="3"/>
        <v>5.1063999999314547E-3</v>
      </c>
      <c r="O33" s="21">
        <f t="shared" ca="1" si="4"/>
        <v>-6.5992004821376353E-4</v>
      </c>
      <c r="Q33" s="48">
        <f t="shared" si="5"/>
        <v>23364.724999999999</v>
      </c>
    </row>
    <row r="34" spans="1:17" s="21" customFormat="1" ht="12.95" customHeight="1" x14ac:dyDescent="0.2">
      <c r="A34" s="44" t="s">
        <v>73</v>
      </c>
      <c r="B34" s="45" t="s">
        <v>115</v>
      </c>
      <c r="C34" s="46">
        <v>38386.19</v>
      </c>
      <c r="D34" s="47"/>
      <c r="E34" s="21">
        <f t="shared" si="0"/>
        <v>-11858.504620571402</v>
      </c>
      <c r="F34" s="21">
        <f t="shared" si="1"/>
        <v>-11858.5</v>
      </c>
      <c r="G34" s="21">
        <f t="shared" si="2"/>
        <v>-5.4995999962557107E-3</v>
      </c>
      <c r="K34" s="21">
        <f t="shared" si="3"/>
        <v>-5.4995999962557107E-3</v>
      </c>
      <c r="O34" s="21">
        <f t="shared" ca="1" si="4"/>
        <v>-6.6027586447541193E-4</v>
      </c>
      <c r="Q34" s="48">
        <f t="shared" si="5"/>
        <v>23367.690000000002</v>
      </c>
    </row>
    <row r="35" spans="1:17" s="21" customFormat="1" ht="12.95" customHeight="1" x14ac:dyDescent="0.2">
      <c r="A35" s="21" t="s">
        <v>43</v>
      </c>
      <c r="C35" s="47">
        <v>52500.684999999998</v>
      </c>
      <c r="D35" s="47" t="s">
        <v>13</v>
      </c>
      <c r="E35" s="21">
        <f t="shared" si="0"/>
        <v>0</v>
      </c>
      <c r="F35" s="21">
        <f t="shared" si="1"/>
        <v>0</v>
      </c>
      <c r="G35" s="21">
        <f t="shared" si="2"/>
        <v>0</v>
      </c>
      <c r="H35" s="21">
        <f>+G35</f>
        <v>0</v>
      </c>
      <c r="O35" s="21">
        <f t="shared" ca="1" si="4"/>
        <v>-2.3480547199783096E-3</v>
      </c>
      <c r="Q35" s="48">
        <f t="shared" si="5"/>
        <v>37482.184999999998</v>
      </c>
    </row>
    <row r="36" spans="1:17" s="21" customFormat="1" ht="12.95" customHeight="1" x14ac:dyDescent="0.2">
      <c r="A36" s="6" t="s">
        <v>44</v>
      </c>
      <c r="B36" s="7" t="s">
        <v>45</v>
      </c>
      <c r="C36" s="6">
        <v>53432.637999999999</v>
      </c>
      <c r="D36" s="6">
        <v>1.5E-3</v>
      </c>
      <c r="E36" s="21">
        <f t="shared" si="0"/>
        <v>782.99428755016731</v>
      </c>
      <c r="F36" s="21">
        <f t="shared" si="1"/>
        <v>783</v>
      </c>
      <c r="G36" s="21">
        <f t="shared" si="2"/>
        <v>-6.7991999967489392E-3</v>
      </c>
      <c r="I36" s="21">
        <f>+G36</f>
        <v>-6.7991999967489392E-3</v>
      </c>
      <c r="O36" s="21">
        <f t="shared" ca="1" si="4"/>
        <v>-2.4594963731265802E-3</v>
      </c>
      <c r="Q36" s="48">
        <f t="shared" si="5"/>
        <v>38414.137999999999</v>
      </c>
    </row>
    <row r="37" spans="1:17" s="21" customFormat="1" ht="12.95" customHeight="1" x14ac:dyDescent="0.2">
      <c r="A37" s="6" t="s">
        <v>46</v>
      </c>
      <c r="B37" s="7" t="s">
        <v>45</v>
      </c>
      <c r="C37" s="6">
        <v>55595.31194</v>
      </c>
      <c r="D37" s="6">
        <v>8.0000000000000004E-4</v>
      </c>
      <c r="E37" s="21">
        <f t="shared" si="0"/>
        <v>2599.997227455518</v>
      </c>
      <c r="F37" s="21">
        <f t="shared" si="1"/>
        <v>2600</v>
      </c>
      <c r="G37" s="21">
        <f t="shared" si="2"/>
        <v>-3.2999999966705218E-3</v>
      </c>
      <c r="I37" s="21">
        <f>+G37</f>
        <v>-3.2999999966705218E-3</v>
      </c>
      <c r="O37" s="21">
        <f t="shared" ca="1" si="4"/>
        <v>-2.7181036320926186E-3</v>
      </c>
      <c r="Q37" s="48">
        <f t="shared" si="5"/>
        <v>40576.81194</v>
      </c>
    </row>
    <row r="38" spans="1:17" s="21" customFormat="1" ht="12.95" customHeight="1" x14ac:dyDescent="0.2">
      <c r="C38" s="47"/>
      <c r="D38" s="47"/>
    </row>
    <row r="39" spans="1:17" s="21" customFormat="1" ht="12.95" customHeight="1" x14ac:dyDescent="0.2">
      <c r="C39" s="47"/>
      <c r="D39" s="47"/>
    </row>
    <row r="40" spans="1:17" s="21" customFormat="1" ht="12.95" customHeight="1" x14ac:dyDescent="0.2">
      <c r="C40" s="47"/>
      <c r="D40" s="47"/>
    </row>
    <row r="41" spans="1:17" s="21" customFormat="1" ht="12.95" customHeight="1" x14ac:dyDescent="0.2">
      <c r="C41" s="47"/>
      <c r="D41" s="47"/>
    </row>
    <row r="42" spans="1:17" s="21" customFormat="1" ht="12.95" customHeight="1" x14ac:dyDescent="0.2">
      <c r="C42" s="47"/>
      <c r="D42" s="47"/>
    </row>
    <row r="43" spans="1:17" s="21" customFormat="1" ht="12.95" customHeight="1" x14ac:dyDescent="0.2">
      <c r="C43" s="47"/>
      <c r="D43" s="47"/>
    </row>
    <row r="44" spans="1:17" s="21" customFormat="1" ht="12.95" customHeight="1" x14ac:dyDescent="0.2">
      <c r="C44" s="47"/>
      <c r="D44" s="47"/>
    </row>
    <row r="45" spans="1:17" s="21" customFormat="1" ht="12.95" customHeight="1" x14ac:dyDescent="0.2">
      <c r="C45" s="47"/>
      <c r="D45" s="47"/>
    </row>
    <row r="46" spans="1:17" s="21" customFormat="1" ht="12.95" customHeight="1" x14ac:dyDescent="0.2">
      <c r="C46" s="47"/>
      <c r="D46" s="47"/>
    </row>
    <row r="47" spans="1:17" s="21" customFormat="1" ht="12.95" customHeight="1" x14ac:dyDescent="0.2">
      <c r="C47" s="47"/>
      <c r="D47" s="47"/>
    </row>
    <row r="48" spans="1:17" s="21" customFormat="1" ht="12.95" customHeight="1" x14ac:dyDescent="0.2">
      <c r="C48" s="47"/>
      <c r="D48" s="47"/>
    </row>
    <row r="49" spans="3:4" s="21" customFormat="1" ht="12.95" customHeight="1" x14ac:dyDescent="0.2">
      <c r="C49" s="47"/>
      <c r="D49" s="47"/>
    </row>
    <row r="50" spans="3:4" s="21" customFormat="1" ht="12.95" customHeight="1" x14ac:dyDescent="0.2">
      <c r="C50" s="47"/>
      <c r="D50" s="47"/>
    </row>
    <row r="51" spans="3:4" s="21" customFormat="1" ht="12.95" customHeight="1" x14ac:dyDescent="0.2">
      <c r="C51" s="47"/>
      <c r="D51" s="47"/>
    </row>
    <row r="52" spans="3:4" s="21" customFormat="1" ht="12.95" customHeight="1" x14ac:dyDescent="0.2">
      <c r="C52" s="47"/>
      <c r="D52" s="47"/>
    </row>
    <row r="53" spans="3:4" s="21" customFormat="1" ht="12.95" customHeight="1" x14ac:dyDescent="0.2">
      <c r="C53" s="47"/>
      <c r="D53" s="47"/>
    </row>
    <row r="54" spans="3:4" s="21" customFormat="1" ht="12.95" customHeight="1" x14ac:dyDescent="0.2">
      <c r="C54" s="47"/>
      <c r="D54" s="47"/>
    </row>
    <row r="55" spans="3:4" s="21" customFormat="1" ht="12.95" customHeight="1" x14ac:dyDescent="0.2">
      <c r="C55" s="47"/>
      <c r="D55" s="47"/>
    </row>
    <row r="56" spans="3:4" s="21" customFormat="1" ht="12.95" customHeight="1" x14ac:dyDescent="0.2">
      <c r="C56" s="47"/>
      <c r="D56" s="47"/>
    </row>
    <row r="57" spans="3:4" s="21" customFormat="1" ht="12.95" customHeight="1" x14ac:dyDescent="0.2">
      <c r="C57" s="47"/>
      <c r="D57" s="47"/>
    </row>
    <row r="58" spans="3:4" s="21" customFormat="1" ht="12.95" customHeight="1" x14ac:dyDescent="0.2">
      <c r="C58" s="47"/>
      <c r="D58" s="47"/>
    </row>
    <row r="59" spans="3:4" s="21" customFormat="1" ht="12.95" customHeight="1" x14ac:dyDescent="0.2">
      <c r="C59" s="47"/>
      <c r="D59" s="47"/>
    </row>
    <row r="60" spans="3:4" s="21" customFormat="1" ht="12.95" customHeight="1" x14ac:dyDescent="0.2">
      <c r="C60" s="47"/>
      <c r="D60" s="47"/>
    </row>
    <row r="61" spans="3:4" s="21" customFormat="1" ht="12.95" customHeight="1" x14ac:dyDescent="0.2">
      <c r="C61" s="47"/>
      <c r="D61" s="47"/>
    </row>
    <row r="62" spans="3:4" s="21" customFormat="1" ht="12.95" customHeight="1" x14ac:dyDescent="0.2">
      <c r="C62" s="47"/>
      <c r="D62" s="47"/>
    </row>
    <row r="63" spans="3:4" s="21" customFormat="1" ht="12.95" customHeight="1" x14ac:dyDescent="0.2">
      <c r="C63" s="47"/>
      <c r="D63" s="47"/>
    </row>
    <row r="64" spans="3:4" s="21" customFormat="1" ht="12.95" customHeight="1" x14ac:dyDescent="0.2">
      <c r="C64" s="47"/>
      <c r="D64" s="47"/>
    </row>
    <row r="65" spans="3:4" s="21" customFormat="1" ht="12.95" customHeight="1" x14ac:dyDescent="0.2">
      <c r="C65" s="47"/>
      <c r="D65" s="47"/>
    </row>
    <row r="66" spans="3:4" s="21" customFormat="1" ht="12.95" customHeight="1" x14ac:dyDescent="0.2">
      <c r="C66" s="47"/>
      <c r="D66" s="47"/>
    </row>
    <row r="67" spans="3:4" s="21" customFormat="1" ht="12.95" customHeight="1" x14ac:dyDescent="0.2">
      <c r="C67" s="47"/>
      <c r="D67" s="47"/>
    </row>
    <row r="68" spans="3:4" s="21" customFormat="1" ht="12.95" customHeight="1" x14ac:dyDescent="0.2">
      <c r="C68" s="47"/>
      <c r="D68" s="47"/>
    </row>
    <row r="69" spans="3:4" s="21" customFormat="1" ht="12.95" customHeight="1" x14ac:dyDescent="0.2">
      <c r="C69" s="47"/>
      <c r="D69" s="47"/>
    </row>
    <row r="70" spans="3:4" s="21" customFormat="1" ht="12.95" customHeight="1" x14ac:dyDescent="0.2">
      <c r="C70" s="47"/>
      <c r="D70" s="47"/>
    </row>
    <row r="71" spans="3:4" s="21" customFormat="1" ht="12.95" customHeight="1" x14ac:dyDescent="0.2">
      <c r="C71" s="47"/>
      <c r="D71" s="47"/>
    </row>
    <row r="72" spans="3:4" s="21" customFormat="1" ht="12.95" customHeight="1" x14ac:dyDescent="0.2">
      <c r="C72" s="47"/>
      <c r="D72" s="47"/>
    </row>
    <row r="73" spans="3:4" s="21" customFormat="1" ht="12.95" customHeight="1" x14ac:dyDescent="0.2">
      <c r="C73" s="47"/>
      <c r="D73" s="47"/>
    </row>
    <row r="74" spans="3:4" s="21" customFormat="1" ht="12.95" customHeight="1" x14ac:dyDescent="0.2">
      <c r="C74" s="47"/>
      <c r="D74" s="47"/>
    </row>
    <row r="75" spans="3:4" s="21" customFormat="1" ht="12.95" customHeight="1" x14ac:dyDescent="0.2">
      <c r="C75" s="47"/>
      <c r="D75" s="47"/>
    </row>
    <row r="76" spans="3:4" s="21" customFormat="1" ht="12.95" customHeight="1" x14ac:dyDescent="0.2">
      <c r="C76" s="47"/>
      <c r="D76" s="47"/>
    </row>
    <row r="77" spans="3:4" s="21" customFormat="1" ht="12.95" customHeight="1" x14ac:dyDescent="0.2">
      <c r="C77" s="47"/>
      <c r="D77" s="47"/>
    </row>
    <row r="78" spans="3:4" s="21" customFormat="1" ht="12.95" customHeight="1" x14ac:dyDescent="0.2">
      <c r="C78" s="47"/>
      <c r="D78" s="47"/>
    </row>
    <row r="79" spans="3:4" s="21" customFormat="1" ht="12.95" customHeight="1" x14ac:dyDescent="0.2">
      <c r="C79" s="47"/>
      <c r="D79" s="47"/>
    </row>
    <row r="80" spans="3:4" s="21" customFormat="1" ht="12.95" customHeight="1" x14ac:dyDescent="0.2">
      <c r="C80" s="47"/>
      <c r="D80" s="47"/>
    </row>
    <row r="81" spans="3:4" s="21" customFormat="1" ht="12.95" customHeight="1" x14ac:dyDescent="0.2">
      <c r="C81" s="47"/>
      <c r="D81" s="47"/>
    </row>
    <row r="82" spans="3:4" s="21" customFormat="1" ht="12.95" customHeight="1" x14ac:dyDescent="0.2">
      <c r="C82" s="47"/>
      <c r="D82" s="47"/>
    </row>
    <row r="83" spans="3:4" s="21" customFormat="1" ht="12.95" customHeight="1" x14ac:dyDescent="0.2">
      <c r="C83" s="47"/>
      <c r="D83" s="47"/>
    </row>
    <row r="84" spans="3:4" s="21" customFormat="1" ht="12.95" customHeight="1" x14ac:dyDescent="0.2">
      <c r="C84" s="47"/>
      <c r="D84" s="47"/>
    </row>
    <row r="85" spans="3:4" s="21" customFormat="1" ht="12.95" customHeight="1" x14ac:dyDescent="0.2">
      <c r="C85" s="47"/>
      <c r="D85" s="47"/>
    </row>
    <row r="86" spans="3:4" s="21" customFormat="1" ht="12.95" customHeight="1" x14ac:dyDescent="0.2">
      <c r="C86" s="47"/>
      <c r="D86" s="47"/>
    </row>
    <row r="87" spans="3:4" s="21" customFormat="1" ht="12.95" customHeight="1" x14ac:dyDescent="0.2">
      <c r="C87" s="47"/>
      <c r="D87" s="47"/>
    </row>
    <row r="88" spans="3:4" s="21" customFormat="1" ht="12.95" customHeight="1" x14ac:dyDescent="0.2">
      <c r="C88" s="47"/>
      <c r="D88" s="47"/>
    </row>
    <row r="89" spans="3:4" s="21" customFormat="1" ht="12.95" customHeight="1" x14ac:dyDescent="0.2">
      <c r="C89" s="47"/>
      <c r="D89" s="47"/>
    </row>
    <row r="90" spans="3:4" s="21" customFormat="1" ht="12.95" customHeight="1" x14ac:dyDescent="0.2">
      <c r="C90" s="47"/>
      <c r="D90" s="47"/>
    </row>
    <row r="91" spans="3:4" s="21" customFormat="1" ht="12.95" customHeight="1" x14ac:dyDescent="0.2">
      <c r="C91" s="47"/>
      <c r="D91" s="47"/>
    </row>
    <row r="92" spans="3:4" s="21" customFormat="1" ht="12.95" customHeight="1" x14ac:dyDescent="0.2">
      <c r="C92" s="47"/>
      <c r="D92" s="47"/>
    </row>
    <row r="93" spans="3:4" s="21" customFormat="1" ht="12.95" customHeight="1" x14ac:dyDescent="0.2">
      <c r="C93" s="47"/>
      <c r="D93" s="47"/>
    </row>
    <row r="94" spans="3:4" s="21" customFormat="1" ht="12.95" customHeight="1" x14ac:dyDescent="0.2">
      <c r="C94" s="47"/>
      <c r="D94" s="47"/>
    </row>
    <row r="95" spans="3:4" s="21" customFormat="1" ht="12.95" customHeight="1" x14ac:dyDescent="0.2">
      <c r="C95" s="47"/>
      <c r="D95" s="47"/>
    </row>
    <row r="96" spans="3:4" s="21" customFormat="1" ht="12.95" customHeight="1" x14ac:dyDescent="0.2">
      <c r="C96" s="47"/>
      <c r="D96" s="47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0"/>
  <sheetViews>
    <sheetView workbookViewId="0">
      <selection activeCell="A13" sqref="A13:C26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47</v>
      </c>
      <c r="I1" s="9" t="s">
        <v>48</v>
      </c>
      <c r="J1" s="10" t="s">
        <v>49</v>
      </c>
    </row>
    <row r="2" spans="1:16" x14ac:dyDescent="0.2">
      <c r="I2" s="11" t="s">
        <v>50</v>
      </c>
      <c r="J2" s="12" t="s">
        <v>51</v>
      </c>
    </row>
    <row r="3" spans="1:16" x14ac:dyDescent="0.2">
      <c r="A3" s="13" t="s">
        <v>52</v>
      </c>
      <c r="I3" s="11" t="s">
        <v>53</v>
      </c>
      <c r="J3" s="12" t="s">
        <v>54</v>
      </c>
    </row>
    <row r="4" spans="1:16" x14ac:dyDescent="0.2">
      <c r="I4" s="11" t="s">
        <v>55</v>
      </c>
      <c r="J4" s="12" t="s">
        <v>54</v>
      </c>
    </row>
    <row r="5" spans="1:16" ht="13.5" thickBot="1" x14ac:dyDescent="0.25">
      <c r="I5" s="14" t="s">
        <v>56</v>
      </c>
      <c r="J5" s="15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26" si="0">P11</f>
        <v>IBVS 5690 </v>
      </c>
      <c r="B11" s="2" t="str">
        <f t="shared" ref="B11:B26" si="1">IF(H11=INT(H11),"I","II")</f>
        <v>I</v>
      </c>
      <c r="C11" s="3">
        <f t="shared" ref="C11:C26" si="2">1*G11</f>
        <v>53432.637999999999</v>
      </c>
      <c r="D11" s="4" t="str">
        <f t="shared" ref="D11:D26" si="3">VLOOKUP(F11,I$1:J$5,2,FALSE)</f>
        <v>vis</v>
      </c>
      <c r="E11" s="16">
        <f>VLOOKUP(C11,Active!C$21:E$973,3,FALSE)</f>
        <v>782.99428755016731</v>
      </c>
      <c r="F11" s="2" t="s">
        <v>56</v>
      </c>
      <c r="G11" s="4" t="str">
        <f t="shared" ref="G11:G26" si="4">MID(I11,3,LEN(I11)-3)</f>
        <v>53432.638</v>
      </c>
      <c r="H11" s="3">
        <f t="shared" ref="H11:H26" si="5">1*K11</f>
        <v>16881</v>
      </c>
      <c r="I11" s="17" t="s">
        <v>104</v>
      </c>
      <c r="J11" s="18" t="s">
        <v>105</v>
      </c>
      <c r="K11" s="17">
        <v>16881</v>
      </c>
      <c r="L11" s="17" t="s">
        <v>106</v>
      </c>
      <c r="M11" s="18" t="s">
        <v>62</v>
      </c>
      <c r="N11" s="18" t="s">
        <v>63</v>
      </c>
      <c r="O11" s="19" t="s">
        <v>107</v>
      </c>
      <c r="P11" s="20" t="s">
        <v>108</v>
      </c>
    </row>
    <row r="12" spans="1:16" ht="12.75" customHeight="1" thickBot="1" x14ac:dyDescent="0.25">
      <c r="A12" s="3" t="str">
        <f t="shared" si="0"/>
        <v>IBVS 6007 </v>
      </c>
      <c r="B12" s="2" t="str">
        <f t="shared" si="1"/>
        <v>I</v>
      </c>
      <c r="C12" s="3">
        <f t="shared" si="2"/>
        <v>55595.31194</v>
      </c>
      <c r="D12" s="4" t="str">
        <f t="shared" si="3"/>
        <v>vis</v>
      </c>
      <c r="E12" s="16">
        <f>VLOOKUP(C12,Active!C$21:E$973,3,FALSE)</f>
        <v>2599.997227455518</v>
      </c>
      <c r="F12" s="2" t="s">
        <v>56</v>
      </c>
      <c r="G12" s="4" t="str">
        <f t="shared" si="4"/>
        <v>55595.31194</v>
      </c>
      <c r="H12" s="3">
        <f t="shared" si="5"/>
        <v>18698</v>
      </c>
      <c r="I12" s="17" t="s">
        <v>109</v>
      </c>
      <c r="J12" s="18" t="s">
        <v>110</v>
      </c>
      <c r="K12" s="17">
        <v>18698</v>
      </c>
      <c r="L12" s="17" t="s">
        <v>111</v>
      </c>
      <c r="M12" s="18" t="s">
        <v>112</v>
      </c>
      <c r="N12" s="18" t="s">
        <v>48</v>
      </c>
      <c r="O12" s="19" t="s">
        <v>113</v>
      </c>
      <c r="P12" s="20" t="s">
        <v>114</v>
      </c>
    </row>
    <row r="13" spans="1:16" ht="12.75" customHeight="1" thickBot="1" x14ac:dyDescent="0.25">
      <c r="A13" s="3" t="str">
        <f t="shared" si="0"/>
        <v> MN 111.634 </v>
      </c>
      <c r="B13" s="2" t="str">
        <f t="shared" si="1"/>
        <v>II</v>
      </c>
      <c r="C13" s="3">
        <f t="shared" si="2"/>
        <v>33270.523000000001</v>
      </c>
      <c r="D13" s="4" t="str">
        <f t="shared" si="3"/>
        <v>vis</v>
      </c>
      <c r="E13" s="16">
        <f>VLOOKUP(C13,Active!C$21:E$973,3,FALSE)</f>
        <v>-16156.50895985557</v>
      </c>
      <c r="F13" s="2" t="s">
        <v>56</v>
      </c>
      <c r="G13" s="4" t="str">
        <f t="shared" si="4"/>
        <v>33270.523</v>
      </c>
      <c r="H13" s="3">
        <f t="shared" si="5"/>
        <v>-58.5</v>
      </c>
      <c r="I13" s="17" t="s">
        <v>59</v>
      </c>
      <c r="J13" s="18" t="s">
        <v>60</v>
      </c>
      <c r="K13" s="17">
        <v>-58.5</v>
      </c>
      <c r="L13" s="17" t="s">
        <v>61</v>
      </c>
      <c r="M13" s="18" t="s">
        <v>62</v>
      </c>
      <c r="N13" s="18" t="s">
        <v>63</v>
      </c>
      <c r="O13" s="19" t="s">
        <v>64</v>
      </c>
      <c r="P13" s="19" t="s">
        <v>65</v>
      </c>
    </row>
    <row r="14" spans="1:16" ht="12.75" customHeight="1" thickBot="1" x14ac:dyDescent="0.25">
      <c r="A14" s="3" t="str">
        <f t="shared" si="0"/>
        <v> MN 111.634 </v>
      </c>
      <c r="B14" s="2" t="str">
        <f t="shared" si="1"/>
        <v>I</v>
      </c>
      <c r="C14" s="3">
        <f t="shared" si="2"/>
        <v>33340.167999999998</v>
      </c>
      <c r="D14" s="4" t="str">
        <f t="shared" si="3"/>
        <v>vis</v>
      </c>
      <c r="E14" s="16">
        <f>VLOOKUP(C14,Active!C$21:E$973,3,FALSE)</f>
        <v>-16097.995668781417</v>
      </c>
      <c r="F14" s="2" t="s">
        <v>56</v>
      </c>
      <c r="G14" s="4" t="str">
        <f t="shared" si="4"/>
        <v>33340.168</v>
      </c>
      <c r="H14" s="3">
        <f t="shared" si="5"/>
        <v>0</v>
      </c>
      <c r="I14" s="17" t="s">
        <v>66</v>
      </c>
      <c r="J14" s="18" t="s">
        <v>67</v>
      </c>
      <c r="K14" s="17">
        <v>0</v>
      </c>
      <c r="L14" s="17" t="s">
        <v>68</v>
      </c>
      <c r="M14" s="18" t="s">
        <v>62</v>
      </c>
      <c r="N14" s="18" t="s">
        <v>63</v>
      </c>
      <c r="O14" s="19" t="s">
        <v>64</v>
      </c>
      <c r="P14" s="19" t="s">
        <v>65</v>
      </c>
    </row>
    <row r="15" spans="1:16" ht="12.75" customHeight="1" thickBot="1" x14ac:dyDescent="0.25">
      <c r="A15" s="3" t="str">
        <f t="shared" si="0"/>
        <v> BAC 16.209 </v>
      </c>
      <c r="B15" s="2" t="str">
        <f t="shared" si="1"/>
        <v>II</v>
      </c>
      <c r="C15" s="3">
        <f t="shared" si="2"/>
        <v>37279.258999999998</v>
      </c>
      <c r="D15" s="4" t="str">
        <f t="shared" si="3"/>
        <v>vis</v>
      </c>
      <c r="E15" s="16">
        <f>VLOOKUP(C15,Active!C$21:E$973,3,FALSE)</f>
        <v>-12788.509298610097</v>
      </c>
      <c r="F15" s="2" t="s">
        <v>56</v>
      </c>
      <c r="G15" s="4" t="str">
        <f t="shared" si="4"/>
        <v>37279.259</v>
      </c>
      <c r="H15" s="3">
        <f t="shared" si="5"/>
        <v>3309.5</v>
      </c>
      <c r="I15" s="17" t="s">
        <v>69</v>
      </c>
      <c r="J15" s="18" t="s">
        <v>70</v>
      </c>
      <c r="K15" s="17">
        <v>3309.5</v>
      </c>
      <c r="L15" s="17" t="s">
        <v>71</v>
      </c>
      <c r="M15" s="18" t="s">
        <v>62</v>
      </c>
      <c r="N15" s="18" t="s">
        <v>63</v>
      </c>
      <c r="O15" s="19" t="s">
        <v>72</v>
      </c>
      <c r="P15" s="19" t="s">
        <v>73</v>
      </c>
    </row>
    <row r="16" spans="1:16" ht="12.75" customHeight="1" thickBot="1" x14ac:dyDescent="0.25">
      <c r="A16" s="3" t="str">
        <f t="shared" si="0"/>
        <v> BAC 16.209 </v>
      </c>
      <c r="B16" s="2" t="str">
        <f t="shared" si="1"/>
        <v>I</v>
      </c>
      <c r="C16" s="3">
        <f t="shared" si="2"/>
        <v>37314.372000000003</v>
      </c>
      <c r="D16" s="4" t="str">
        <f t="shared" si="3"/>
        <v>vis</v>
      </c>
      <c r="E16" s="16">
        <f>VLOOKUP(C16,Active!C$21:E$973,3,FALSE)</f>
        <v>-12759.008585141979</v>
      </c>
      <c r="F16" s="2" t="s">
        <v>56</v>
      </c>
      <c r="G16" s="4" t="str">
        <f t="shared" si="4"/>
        <v>37314.372</v>
      </c>
      <c r="H16" s="3">
        <f t="shared" si="5"/>
        <v>3339</v>
      </c>
      <c r="I16" s="17" t="s">
        <v>74</v>
      </c>
      <c r="J16" s="18" t="s">
        <v>75</v>
      </c>
      <c r="K16" s="17">
        <v>3339</v>
      </c>
      <c r="L16" s="17" t="s">
        <v>76</v>
      </c>
      <c r="M16" s="18" t="s">
        <v>62</v>
      </c>
      <c r="N16" s="18" t="s">
        <v>63</v>
      </c>
      <c r="O16" s="19" t="s">
        <v>72</v>
      </c>
      <c r="P16" s="19" t="s">
        <v>73</v>
      </c>
    </row>
    <row r="17" spans="1:16" ht="12.75" customHeight="1" thickBot="1" x14ac:dyDescent="0.25">
      <c r="A17" s="3" t="str">
        <f t="shared" si="0"/>
        <v> BAC 16.209 </v>
      </c>
      <c r="B17" s="2" t="str">
        <f t="shared" si="1"/>
        <v>II</v>
      </c>
      <c r="C17" s="3">
        <f t="shared" si="2"/>
        <v>38005.309000000001</v>
      </c>
      <c r="D17" s="4" t="str">
        <f t="shared" si="3"/>
        <v>vis</v>
      </c>
      <c r="E17" s="16">
        <f>VLOOKUP(C17,Active!C$21:E$973,3,FALSE)</f>
        <v>-12178.507504017665</v>
      </c>
      <c r="F17" s="2" t="s">
        <v>56</v>
      </c>
      <c r="G17" s="4" t="str">
        <f t="shared" si="4"/>
        <v>38005.309</v>
      </c>
      <c r="H17" s="3">
        <f t="shared" si="5"/>
        <v>3919.5</v>
      </c>
      <c r="I17" s="17" t="s">
        <v>77</v>
      </c>
      <c r="J17" s="18" t="s">
        <v>78</v>
      </c>
      <c r="K17" s="17">
        <v>3919.5</v>
      </c>
      <c r="L17" s="17" t="s">
        <v>61</v>
      </c>
      <c r="M17" s="18" t="s">
        <v>62</v>
      </c>
      <c r="N17" s="18" t="s">
        <v>63</v>
      </c>
      <c r="O17" s="19" t="s">
        <v>72</v>
      </c>
      <c r="P17" s="19" t="s">
        <v>73</v>
      </c>
    </row>
    <row r="18" spans="1:16" ht="12.75" customHeight="1" thickBot="1" x14ac:dyDescent="0.25">
      <c r="A18" s="3" t="str">
        <f t="shared" si="0"/>
        <v> BAC 16.209 </v>
      </c>
      <c r="B18" s="2" t="str">
        <f t="shared" si="1"/>
        <v>I</v>
      </c>
      <c r="C18" s="3">
        <f t="shared" si="2"/>
        <v>38008.303</v>
      </c>
      <c r="D18" s="4" t="str">
        <f t="shared" si="3"/>
        <v>vis</v>
      </c>
      <c r="E18" s="16">
        <f>VLOOKUP(C18,Active!C$21:E$973,3,FALSE)</f>
        <v>-12175.992050022749</v>
      </c>
      <c r="F18" s="2" t="s">
        <v>56</v>
      </c>
      <c r="G18" s="4" t="str">
        <f t="shared" si="4"/>
        <v>38008.303</v>
      </c>
      <c r="H18" s="3">
        <f t="shared" si="5"/>
        <v>3922</v>
      </c>
      <c r="I18" s="17" t="s">
        <v>79</v>
      </c>
      <c r="J18" s="18" t="s">
        <v>80</v>
      </c>
      <c r="K18" s="17">
        <v>3922</v>
      </c>
      <c r="L18" s="17" t="s">
        <v>81</v>
      </c>
      <c r="M18" s="18" t="s">
        <v>62</v>
      </c>
      <c r="N18" s="18" t="s">
        <v>63</v>
      </c>
      <c r="O18" s="19" t="s">
        <v>72</v>
      </c>
      <c r="P18" s="19" t="s">
        <v>73</v>
      </c>
    </row>
    <row r="19" spans="1:16" ht="12.75" customHeight="1" thickBot="1" x14ac:dyDescent="0.25">
      <c r="A19" s="3" t="str">
        <f t="shared" si="0"/>
        <v> BAC 16.209 </v>
      </c>
      <c r="B19" s="2" t="str">
        <f t="shared" si="1"/>
        <v>I</v>
      </c>
      <c r="C19" s="3">
        <f t="shared" si="2"/>
        <v>38014.241999999998</v>
      </c>
      <c r="D19" s="4" t="str">
        <f t="shared" si="3"/>
        <v>vis</v>
      </c>
      <c r="E19" s="16">
        <f>VLOOKUP(C19,Active!C$21:E$973,3,FALSE)</f>
        <v>-12171.002310117668</v>
      </c>
      <c r="F19" s="2" t="s">
        <v>56</v>
      </c>
      <c r="G19" s="4" t="str">
        <f t="shared" si="4"/>
        <v>38014.242</v>
      </c>
      <c r="H19" s="3">
        <f t="shared" si="5"/>
        <v>3927</v>
      </c>
      <c r="I19" s="17" t="s">
        <v>82</v>
      </c>
      <c r="J19" s="18" t="s">
        <v>83</v>
      </c>
      <c r="K19" s="17">
        <v>3927</v>
      </c>
      <c r="L19" s="17" t="s">
        <v>84</v>
      </c>
      <c r="M19" s="18" t="s">
        <v>62</v>
      </c>
      <c r="N19" s="18" t="s">
        <v>63</v>
      </c>
      <c r="O19" s="19" t="s">
        <v>72</v>
      </c>
      <c r="P19" s="19" t="s">
        <v>73</v>
      </c>
    </row>
    <row r="20" spans="1:16" ht="12.75" customHeight="1" thickBot="1" x14ac:dyDescent="0.25">
      <c r="A20" s="3" t="str">
        <f t="shared" si="0"/>
        <v> BAC 16.209 </v>
      </c>
      <c r="B20" s="2" t="str">
        <f t="shared" si="1"/>
        <v>II</v>
      </c>
      <c r="C20" s="3">
        <f t="shared" si="2"/>
        <v>38017.232000000004</v>
      </c>
      <c r="D20" s="4" t="str">
        <f t="shared" si="3"/>
        <v>vis</v>
      </c>
      <c r="E20" s="16">
        <f>VLOOKUP(C20,Active!C$21:E$973,3,FALSE)</f>
        <v>-12168.490216782728</v>
      </c>
      <c r="F20" s="2" t="s">
        <v>56</v>
      </c>
      <c r="G20" s="4" t="str">
        <f t="shared" si="4"/>
        <v>38017.232</v>
      </c>
      <c r="H20" s="3">
        <f t="shared" si="5"/>
        <v>3929.5</v>
      </c>
      <c r="I20" s="17" t="s">
        <v>85</v>
      </c>
      <c r="J20" s="18" t="s">
        <v>86</v>
      </c>
      <c r="K20" s="17">
        <v>3929.5</v>
      </c>
      <c r="L20" s="17" t="s">
        <v>87</v>
      </c>
      <c r="M20" s="18" t="s">
        <v>62</v>
      </c>
      <c r="N20" s="18" t="s">
        <v>63</v>
      </c>
      <c r="O20" s="19" t="s">
        <v>72</v>
      </c>
      <c r="P20" s="19" t="s">
        <v>73</v>
      </c>
    </row>
    <row r="21" spans="1:16" ht="12.75" customHeight="1" thickBot="1" x14ac:dyDescent="0.25">
      <c r="A21" s="3" t="str">
        <f t="shared" si="0"/>
        <v> BAC 16.209 </v>
      </c>
      <c r="B21" s="2" t="str">
        <f t="shared" si="1"/>
        <v>I</v>
      </c>
      <c r="C21" s="3">
        <f t="shared" si="2"/>
        <v>38039.245999999999</v>
      </c>
      <c r="D21" s="4" t="str">
        <f t="shared" si="3"/>
        <v>vis</v>
      </c>
      <c r="E21" s="16">
        <f>VLOOKUP(C21,Active!C$21:E$973,3,FALSE)</f>
        <v>-12149.994824583629</v>
      </c>
      <c r="F21" s="2" t="s">
        <v>56</v>
      </c>
      <c r="G21" s="4" t="str">
        <f t="shared" si="4"/>
        <v>38039.246</v>
      </c>
      <c r="H21" s="3">
        <f t="shared" si="5"/>
        <v>3948</v>
      </c>
      <c r="I21" s="17" t="s">
        <v>88</v>
      </c>
      <c r="J21" s="18" t="s">
        <v>89</v>
      </c>
      <c r="K21" s="17">
        <v>3948</v>
      </c>
      <c r="L21" s="17" t="s">
        <v>90</v>
      </c>
      <c r="M21" s="18" t="s">
        <v>62</v>
      </c>
      <c r="N21" s="18" t="s">
        <v>63</v>
      </c>
      <c r="O21" s="19" t="s">
        <v>72</v>
      </c>
      <c r="P21" s="19" t="s">
        <v>73</v>
      </c>
    </row>
    <row r="22" spans="1:16" ht="12.75" customHeight="1" thickBot="1" x14ac:dyDescent="0.25">
      <c r="A22" s="3" t="str">
        <f t="shared" si="0"/>
        <v> BAC 16.209 </v>
      </c>
      <c r="B22" s="2" t="str">
        <f t="shared" si="1"/>
        <v>II</v>
      </c>
      <c r="C22" s="3">
        <f t="shared" si="2"/>
        <v>38048.169000000002</v>
      </c>
      <c r="D22" s="4" t="str">
        <f t="shared" si="3"/>
        <v>vis</v>
      </c>
      <c r="E22" s="16">
        <f>VLOOKUP(C22,Active!C$21:E$973,3,FALSE)</f>
        <v>-12142.498032333579</v>
      </c>
      <c r="F22" s="2" t="s">
        <v>56</v>
      </c>
      <c r="G22" s="4" t="str">
        <f t="shared" si="4"/>
        <v>38048.169</v>
      </c>
      <c r="H22" s="3">
        <f t="shared" si="5"/>
        <v>3955.5</v>
      </c>
      <c r="I22" s="17" t="s">
        <v>91</v>
      </c>
      <c r="J22" s="18" t="s">
        <v>92</v>
      </c>
      <c r="K22" s="17">
        <v>3955.5</v>
      </c>
      <c r="L22" s="17" t="s">
        <v>93</v>
      </c>
      <c r="M22" s="18" t="s">
        <v>62</v>
      </c>
      <c r="N22" s="18" t="s">
        <v>63</v>
      </c>
      <c r="O22" s="19" t="s">
        <v>72</v>
      </c>
      <c r="P22" s="19" t="s">
        <v>73</v>
      </c>
    </row>
    <row r="23" spans="1:16" ht="12.75" customHeight="1" thickBot="1" x14ac:dyDescent="0.25">
      <c r="A23" s="3" t="str">
        <f t="shared" si="0"/>
        <v> BAC 16.209 </v>
      </c>
      <c r="B23" s="2" t="str">
        <f t="shared" si="1"/>
        <v>I</v>
      </c>
      <c r="C23" s="3">
        <f t="shared" si="2"/>
        <v>38346.324999999997</v>
      </c>
      <c r="D23" s="4" t="str">
        <f t="shared" si="3"/>
        <v>vis</v>
      </c>
      <c r="E23" s="16">
        <f>VLOOKUP(C23,Active!C$21:E$973,3,FALSE)</f>
        <v>-11891.997798095581</v>
      </c>
      <c r="F23" s="2" t="s">
        <v>56</v>
      </c>
      <c r="G23" s="4" t="str">
        <f t="shared" si="4"/>
        <v>38346.325</v>
      </c>
      <c r="H23" s="3">
        <f t="shared" si="5"/>
        <v>4206</v>
      </c>
      <c r="I23" s="17" t="s">
        <v>94</v>
      </c>
      <c r="J23" s="18" t="s">
        <v>95</v>
      </c>
      <c r="K23" s="17">
        <v>4206</v>
      </c>
      <c r="L23" s="17" t="s">
        <v>93</v>
      </c>
      <c r="M23" s="18" t="s">
        <v>62</v>
      </c>
      <c r="N23" s="18" t="s">
        <v>63</v>
      </c>
      <c r="O23" s="19" t="s">
        <v>72</v>
      </c>
      <c r="P23" s="19" t="s">
        <v>73</v>
      </c>
    </row>
    <row r="24" spans="1:16" ht="12.75" customHeight="1" thickBot="1" x14ac:dyDescent="0.25">
      <c r="A24" s="3" t="str">
        <f t="shared" si="0"/>
        <v> BAC 16.209 </v>
      </c>
      <c r="B24" s="2" t="str">
        <f t="shared" si="1"/>
        <v>II</v>
      </c>
      <c r="C24" s="3">
        <f t="shared" si="2"/>
        <v>38380.245999999999</v>
      </c>
      <c r="D24" s="4" t="str">
        <f t="shared" si="3"/>
        <v>vis</v>
      </c>
      <c r="E24" s="16">
        <f>VLOOKUP(C24,Active!C$21:E$973,3,FALSE)</f>
        <v>-11863.498561301461</v>
      </c>
      <c r="F24" s="2" t="s">
        <v>56</v>
      </c>
      <c r="G24" s="4" t="str">
        <f t="shared" si="4"/>
        <v>38380.246</v>
      </c>
      <c r="H24" s="3">
        <f t="shared" si="5"/>
        <v>4234.5</v>
      </c>
      <c r="I24" s="17" t="s">
        <v>96</v>
      </c>
      <c r="J24" s="18" t="s">
        <v>97</v>
      </c>
      <c r="K24" s="17">
        <v>4234.5</v>
      </c>
      <c r="L24" s="17" t="s">
        <v>98</v>
      </c>
      <c r="M24" s="18" t="s">
        <v>62</v>
      </c>
      <c r="N24" s="18" t="s">
        <v>63</v>
      </c>
      <c r="O24" s="19" t="s">
        <v>72</v>
      </c>
      <c r="P24" s="19" t="s">
        <v>73</v>
      </c>
    </row>
    <row r="25" spans="1:16" ht="12.75" customHeight="1" thickBot="1" x14ac:dyDescent="0.25">
      <c r="A25" s="3" t="str">
        <f t="shared" si="0"/>
        <v> BAC 16.209 </v>
      </c>
      <c r="B25" s="2" t="str">
        <f t="shared" si="1"/>
        <v>I</v>
      </c>
      <c r="C25" s="3">
        <f t="shared" si="2"/>
        <v>38383.224999999999</v>
      </c>
      <c r="D25" s="4" t="str">
        <f t="shared" si="3"/>
        <v>vis</v>
      </c>
      <c r="E25" s="16">
        <f>VLOOKUP(C25,Active!C$21:E$973,3,FALSE)</f>
        <v>-11860.995709781469</v>
      </c>
      <c r="F25" s="2" t="s">
        <v>56</v>
      </c>
      <c r="G25" s="4" t="str">
        <f t="shared" si="4"/>
        <v>38383.225</v>
      </c>
      <c r="H25" s="3">
        <f t="shared" si="5"/>
        <v>4237</v>
      </c>
      <c r="I25" s="17" t="s">
        <v>99</v>
      </c>
      <c r="J25" s="18" t="s">
        <v>100</v>
      </c>
      <c r="K25" s="17">
        <v>4237</v>
      </c>
      <c r="L25" s="17" t="s">
        <v>58</v>
      </c>
      <c r="M25" s="18" t="s">
        <v>62</v>
      </c>
      <c r="N25" s="18" t="s">
        <v>63</v>
      </c>
      <c r="O25" s="19" t="s">
        <v>72</v>
      </c>
      <c r="P25" s="19" t="s">
        <v>73</v>
      </c>
    </row>
    <row r="26" spans="1:16" ht="12.75" customHeight="1" thickBot="1" x14ac:dyDescent="0.25">
      <c r="A26" s="3" t="str">
        <f t="shared" si="0"/>
        <v> BAC 16.209 </v>
      </c>
      <c r="B26" s="2" t="str">
        <f t="shared" si="1"/>
        <v>II</v>
      </c>
      <c r="C26" s="3">
        <f t="shared" si="2"/>
        <v>38386.19</v>
      </c>
      <c r="D26" s="4" t="str">
        <f t="shared" si="3"/>
        <v>vis</v>
      </c>
      <c r="E26" s="16">
        <f>VLOOKUP(C26,Active!C$21:E$973,3,FALSE)</f>
        <v>-11858.504620571402</v>
      </c>
      <c r="F26" s="2" t="s">
        <v>56</v>
      </c>
      <c r="G26" s="4" t="str">
        <f t="shared" si="4"/>
        <v>38386.190</v>
      </c>
      <c r="H26" s="3">
        <f t="shared" si="5"/>
        <v>4239.5</v>
      </c>
      <c r="I26" s="17" t="s">
        <v>101</v>
      </c>
      <c r="J26" s="18" t="s">
        <v>102</v>
      </c>
      <c r="K26" s="17">
        <v>4239.5</v>
      </c>
      <c r="L26" s="17" t="s">
        <v>103</v>
      </c>
      <c r="M26" s="18" t="s">
        <v>62</v>
      </c>
      <c r="N26" s="18" t="s">
        <v>63</v>
      </c>
      <c r="O26" s="19" t="s">
        <v>72</v>
      </c>
      <c r="P26" s="19" t="s">
        <v>73</v>
      </c>
    </row>
    <row r="27" spans="1:16" x14ac:dyDescent="0.2">
      <c r="B27" s="2"/>
      <c r="E27" s="16"/>
      <c r="F27" s="2"/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E62" s="16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</sheetData>
  <phoneticPr fontId="7" type="noConversion"/>
  <hyperlinks>
    <hyperlink ref="P11" r:id="rId1" display="http://www.konkoly.hu/cgi-bin/IBVS?5690"/>
    <hyperlink ref="P12" r:id="rId2" display="http://www.konkoly.hu/cgi-bin/IBVS?600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2024-02-20T05:07:25Z</dcterms:modified>
</cp:coreProperties>
</file>