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355FBB-5B06-4C41-972B-544B33AA2F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25" i="1"/>
  <c r="F25" i="1"/>
  <c r="G25" i="1"/>
  <c r="H25" i="1"/>
  <c r="E32" i="1"/>
  <c r="F32" i="1"/>
  <c r="G32" i="1"/>
  <c r="I32" i="1"/>
  <c r="E33" i="1"/>
  <c r="F33" i="1"/>
  <c r="G33" i="1"/>
  <c r="I33" i="1"/>
  <c r="Q21" i="1"/>
  <c r="Q22" i="1"/>
  <c r="Q23" i="1"/>
  <c r="Q24" i="1"/>
  <c r="Q26" i="1"/>
  <c r="Q27" i="1"/>
  <c r="Q28" i="1"/>
  <c r="Q29" i="1"/>
  <c r="Q30" i="1"/>
  <c r="Q31" i="1"/>
  <c r="G12" i="2"/>
  <c r="C12" i="2"/>
  <c r="E12" i="2"/>
  <c r="G11" i="2"/>
  <c r="C11" i="2"/>
  <c r="E11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11" i="2"/>
  <c r="B11" i="2"/>
  <c r="D11" i="2"/>
  <c r="A1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G11" i="1"/>
  <c r="F11" i="1"/>
  <c r="Q32" i="1"/>
  <c r="Q33" i="1"/>
  <c r="E14" i="1"/>
  <c r="C17" i="1"/>
  <c r="Q25" i="1"/>
  <c r="C11" i="1"/>
  <c r="E15" i="1" l="1"/>
  <c r="C12" i="1"/>
  <c r="C16" i="1" l="1"/>
  <c r="D18" i="1" s="1"/>
  <c r="O31" i="1"/>
  <c r="O26" i="1"/>
  <c r="O22" i="1"/>
  <c r="O23" i="1"/>
  <c r="O29" i="1"/>
  <c r="O30" i="1"/>
  <c r="O24" i="1"/>
  <c r="O21" i="1"/>
  <c r="O33" i="1"/>
  <c r="O32" i="1"/>
  <c r="O28" i="1"/>
  <c r="C15" i="1"/>
  <c r="O27" i="1"/>
  <c r="O25" i="1"/>
  <c r="C18" i="1" l="1"/>
  <c r="E16" i="1"/>
  <c r="E17" i="1" s="1"/>
</calcChain>
</file>

<file path=xl/sharedStrings.xml><?xml version="1.0" encoding="utf-8"?>
<sst xmlns="http://schemas.openxmlformats.org/spreadsheetml/2006/main" count="173" uniqueCount="107">
  <si>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</si>
  <si>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</si>
  <si>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</si>
  <si>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</si>
  <si>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</si>
  <si>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</si>
  <si>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</si>
  <si>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</si>
  <si>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</si>
  <si>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</si>
  <si>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</si>
  <si>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</si>
  <si>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</si>
  <si>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</si>
  <si>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</si>
  <si>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</si>
  <si>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</si>
  <si>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</si>
  <si>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</si>
  <si>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</si>
  <si>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</si>
  <si>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</si>
  <si>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</si>
  <si>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</si>
  <si>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</si>
  <si>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</si>
  <si>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</si>
  <si>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</si>
  <si>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</si>
  <si>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</si>
  <si>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</si>
  <si>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</si>
  <si>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</si>
  <si>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</si>
  <si>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</si>
  <si>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</si>
  <si>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</si>
  <si>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</si>
  <si>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</si>
  <si>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</si>
  <si>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</si>
  <si>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V0404 Mon</t>
  </si>
  <si>
    <t>V0404 Mon / GSC 4799-2035</t>
  </si>
  <si>
    <t>G4799-2035</t>
  </si>
  <si>
    <t>EA</t>
  </si>
  <si>
    <t>Malkov</t>
  </si>
  <si>
    <t>IBVS 5918</t>
  </si>
  <si>
    <t>I</t>
  </si>
  <si>
    <t>IBVS 5992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</si>
  <si>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</si>
  <si>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</si>
  <si>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</si>
  <si>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</si>
  <si>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</si>
  <si>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</si>
  <si>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</si>
  <si>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</si>
  <si>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</si>
  <si>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</si>
  <si>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</si>
  <si>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2430025.455 </t>
  </si>
  <si>
    <t> 30.01.1941 22:55 </t>
  </si>
  <si>
    <t> 0.004 </t>
  </si>
  <si>
    <t>P </t>
  </si>
  <si>
    <t> A.A.Wachmann </t>
  </si>
  <si>
    <t> AHSB 7.172 </t>
  </si>
  <si>
    <t>2430382.450 </t>
  </si>
  <si>
    <t> 22.01.1942 22:48 </t>
  </si>
  <si>
    <t> -0.001 </t>
  </si>
  <si>
    <t>2431167.380 </t>
  </si>
  <si>
    <t> 17.03.1944 21:07 </t>
  </si>
  <si>
    <t> 0.018 </t>
  </si>
  <si>
    <t>2432233.465 </t>
  </si>
  <si>
    <t> 16.02.1947 23:09 </t>
  </si>
  <si>
    <t> -0.006 </t>
  </si>
  <si>
    <t>2433304.520 </t>
  </si>
  <si>
    <t> 23.01.1950 00:28 </t>
  </si>
  <si>
    <t> 0.049 </t>
  </si>
  <si>
    <t>2434764.280 </t>
  </si>
  <si>
    <t> 21.01.1954 18:43 </t>
  </si>
  <si>
    <t> 0.021 </t>
  </si>
  <si>
    <t>2434776.460 </t>
  </si>
  <si>
    <t> 02.02.1954 23:02 </t>
  </si>
  <si>
    <t> -0.025 </t>
  </si>
  <si>
    <t>2435160.377 </t>
  </si>
  <si>
    <t> 21.02.1955 21:02 </t>
  </si>
  <si>
    <t> -0.005 </t>
  </si>
  <si>
    <t>2435165.280 </t>
  </si>
  <si>
    <t> 26.02.1955 18:43 </t>
  </si>
  <si>
    <t> 0.008 </t>
  </si>
  <si>
    <t>2436637.310 </t>
  </si>
  <si>
    <t> 09.03.1959 19:26 </t>
  </si>
  <si>
    <t> 0.024 </t>
  </si>
  <si>
    <t>2454866.3051 </t>
  </si>
  <si>
    <t> 03.02.2009 19:19 </t>
  </si>
  <si>
    <t> 0.0138 </t>
  </si>
  <si>
    <t>C </t>
  </si>
  <si>
    <t>-I</t>
  </si>
  <si>
    <t> F.Agerer </t>
  </si>
  <si>
    <t>BAVM 209 </t>
  </si>
  <si>
    <t>2455609.6528 </t>
  </si>
  <si>
    <t> 17.02.2011 03:40 </t>
  </si>
  <si>
    <t>9122</t>
  </si>
  <si>
    <t> 0.0191 </t>
  </si>
  <si>
    <t> R.Diethelm </t>
  </si>
  <si>
    <t>IBVS 5992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</si>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</sst>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V0404 Mon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1E-4526-A254-A73B4E7561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1">
                  <c:v>1.3764600000286009E-2</c:v>
                </c:pt>
                <c:pt idx="12">
                  <c:v>1.9053400006669108E-2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1E-4526-A254-A73B4E7561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1E-4526-A254-A73B4E7561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4.3073000051663257E-3</c:v>
                </c:pt>
                <c:pt idx="1">
                  <c:v>-6.6649999644141644E-4</c:v>
                </c:pt>
                <c:pt idx="2">
                  <c:v>1.8432200002280297E-2</c:v>
                </c:pt>
                <c:pt idx="3">
                  <c:v>-6.0785999994550366E-3</c:v>
                </c:pt>
                <c:pt idx="5">
                  <c:v>4.8999999999068677E-2</c:v>
                </c:pt>
                <c:pt idx="6">
                  <c:v>2.1435900001961272E-2</c:v>
                </c:pt>
                <c:pt idx="7">
                  <c:v>-2.4590599998191465E-2</c:v>
                </c:pt>
                <c:pt idx="8">
                  <c:v>-4.822700000659097E-3</c:v>
                </c:pt>
                <c:pt idx="9">
                  <c:v>7.7667000005021691E-3</c:v>
                </c:pt>
                <c:pt idx="10">
                  <c:v>2.4176099999749567E-2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1E-4526-A254-A73B4E7561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1E-4526-A254-A73B4E7561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1E-4526-A254-A73B4E7561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1">
                    <c:v>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1E-4526-A254-A73B4E7561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7.0556033493969477E-3</c:v>
                </c:pt>
                <c:pt idx="1">
                  <c:v>7.1901071248949957E-3</c:v>
                </c:pt>
                <c:pt idx="2">
                  <c:v>7.4858311792434431E-3</c:v>
                </c:pt>
                <c:pt idx="3">
                  <c:v>7.887499988265009E-3</c:v>
                </c:pt>
                <c:pt idx="4">
                  <c:v>8.2910113147591519E-3</c:v>
                </c:pt>
                <c:pt idx="5">
                  <c:v>8.2910113147591519E-3</c:v>
                </c:pt>
                <c:pt idx="6">
                  <c:v>8.8410027803230862E-3</c:v>
                </c:pt>
                <c:pt idx="7">
                  <c:v>8.8456090740045255E-3</c:v>
                </c:pt>
                <c:pt idx="8">
                  <c:v>8.9902466956017415E-3</c:v>
                </c:pt>
                <c:pt idx="9">
                  <c:v>8.9920892130743169E-3</c:v>
                </c:pt>
                <c:pt idx="10">
                  <c:v>9.5466869723196922E-3</c:v>
                </c:pt>
                <c:pt idx="11">
                  <c:v>1.6414670851346708E-2</c:v>
                </c:pt>
                <c:pt idx="12">
                  <c:v>1.6694733507178261E-2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1E-4526-A254-A73B4E7561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-1341</c:v>
                </c:pt>
                <c:pt idx="1">
                  <c:v>-1195</c:v>
                </c:pt>
                <c:pt idx="2">
                  <c:v>-874</c:v>
                </c:pt>
                <c:pt idx="3">
                  <c:v>-438</c:v>
                </c:pt>
                <c:pt idx="4">
                  <c:v>0</c:v>
                </c:pt>
                <c:pt idx="5">
                  <c:v>0</c:v>
                </c:pt>
                <c:pt idx="6">
                  <c:v>597</c:v>
                </c:pt>
                <c:pt idx="7">
                  <c:v>602</c:v>
                </c:pt>
                <c:pt idx="8">
                  <c:v>759</c:v>
                </c:pt>
                <c:pt idx="9">
                  <c:v>761</c:v>
                </c:pt>
                <c:pt idx="10">
                  <c:v>1363</c:v>
                </c:pt>
                <c:pt idx="11">
                  <c:v>8818</c:v>
                </c:pt>
                <c:pt idx="12">
                  <c:v>9122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1E-4526-A254-A73B4E756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25776"/>
        <c:axId val="1"/>
      </c:scatterChart>
      <c:valAx>
        <c:axId val="78412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125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0</xdr:rowOff>
    </xdr:from>
    <xdr:to>
      <xdr:col>16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ED5A97-F2C6-55FA-8606-E038552FD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 t="s">
        <v>41</v>
      </c>
      <c r="F1" t="s">
        <v>43</v>
      </c>
    </row>
    <row r="2" spans="1:7" ht="12.95" customHeight="1" x14ac:dyDescent="0.2">
      <c r="A2" t="s">
        <v>24</v>
      </c>
      <c r="B2" t="s">
        <v>44</v>
      </c>
      <c r="C2" s="3"/>
      <c r="D2" s="3"/>
      <c r="E2">
        <v>0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33304.470999999998</v>
      </c>
      <c r="D4" s="9">
        <v>2.4452053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v>33304.470999999998</v>
      </c>
      <c r="D7" s="31" t="s">
        <v>45</v>
      </c>
    </row>
    <row r="8" spans="1:7" ht="12.95" customHeight="1" x14ac:dyDescent="0.2">
      <c r="A8" t="s">
        <v>3</v>
      </c>
      <c r="C8">
        <v>2.4452053</v>
      </c>
      <c r="D8" s="31" t="s">
        <v>45</v>
      </c>
    </row>
    <row r="9" spans="1:7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7" ht="12.95" customHeight="1" x14ac:dyDescent="0.2">
      <c r="A11" s="12" t="s">
        <v>15</v>
      </c>
      <c r="B11" s="12"/>
      <c r="C11" s="24">
        <f ca="1">INTERCEPT(INDIRECT($G$11):G992,INDIRECT($F$11):F992)</f>
        <v>8.2910113147591519E-3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ht="12.95" customHeight="1" x14ac:dyDescent="0.2">
      <c r="A12" s="12" t="s">
        <v>16</v>
      </c>
      <c r="B12" s="12"/>
      <c r="C12" s="24">
        <f ca="1">SLOPE(INDIRECT($G$11):G992,INDIRECT($F$11):F992)</f>
        <v>9.2125873628799692E-7</v>
      </c>
      <c r="D12" s="3"/>
      <c r="E12" s="12"/>
    </row>
    <row r="13" spans="1:7" ht="12.95" customHeight="1" x14ac:dyDescent="0.2">
      <c r="A13" s="12" t="s">
        <v>19</v>
      </c>
      <c r="B13" s="12"/>
      <c r="C13" s="3" t="s">
        <v>13</v>
      </c>
      <c r="D13" s="16" t="s">
        <v>38</v>
      </c>
      <c r="E13" s="13">
        <v>1</v>
      </c>
    </row>
    <row r="14" spans="1:7" ht="12.95" customHeight="1" x14ac:dyDescent="0.2">
      <c r="A14" s="12"/>
      <c r="B14" s="12"/>
      <c r="C14" s="12"/>
      <c r="D14" s="16" t="s">
        <v>31</v>
      </c>
      <c r="E14" s="17">
        <f ca="1">NOW()+15018.5+$C$9/24</f>
        <v>60360.795637268515</v>
      </c>
    </row>
    <row r="15" spans="1:7" ht="12.95" customHeight="1" x14ac:dyDescent="0.2">
      <c r="A15" s="14" t="s">
        <v>17</v>
      </c>
      <c r="B15" s="12"/>
      <c r="C15" s="15">
        <f ca="1">(C7+C11)+(C8+C12)*INT(MAX(F21:F3533))</f>
        <v>55609.650441333506</v>
      </c>
      <c r="D15" s="16" t="s">
        <v>39</v>
      </c>
      <c r="E15" s="17">
        <f ca="1">ROUND(2*(E14-$C$7)/$C$8,0)/2+E13</f>
        <v>11066</v>
      </c>
    </row>
    <row r="16" spans="1:7" ht="12.95" customHeight="1" x14ac:dyDescent="0.2">
      <c r="A16" s="18" t="s">
        <v>4</v>
      </c>
      <c r="B16" s="12"/>
      <c r="C16" s="19">
        <f ca="1">+C8+C12</f>
        <v>2.4452062212587364</v>
      </c>
      <c r="D16" s="16" t="s">
        <v>32</v>
      </c>
      <c r="E16" s="26">
        <f ca="1">ROUND(2*(E14-$C$15)/$C$16,0)/2+E13</f>
        <v>1944</v>
      </c>
    </row>
    <row r="17" spans="1:18" ht="12.95" customHeight="1" thickBot="1" x14ac:dyDescent="0.25">
      <c r="A17" s="16" t="s">
        <v>28</v>
      </c>
      <c r="B17" s="12"/>
      <c r="C17" s="12">
        <f>COUNT(C21:C2191)</f>
        <v>13</v>
      </c>
      <c r="D17" s="16" t="s">
        <v>33</v>
      </c>
      <c r="E17" s="20">
        <f ca="1">+$C$15+$C$16*E16-15018.5-$C$9/24</f>
        <v>45345.027168793829</v>
      </c>
    </row>
    <row r="18" spans="1:18" ht="12.95" customHeight="1" thickTop="1" thickBot="1" x14ac:dyDescent="0.25">
      <c r="A18" s="18" t="s">
        <v>5</v>
      </c>
      <c r="B18" s="12"/>
      <c r="C18" s="21">
        <f ca="1">+C15</f>
        <v>55609.650441333506</v>
      </c>
      <c r="D18" s="22">
        <f ca="1">+C16</f>
        <v>2.4452062212587364</v>
      </c>
      <c r="E18" s="23" t="s">
        <v>34</v>
      </c>
    </row>
    <row r="19" spans="1:18" ht="12.95" customHeight="1" thickTop="1" x14ac:dyDescent="0.2">
      <c r="A19" s="27" t="s">
        <v>35</v>
      </c>
      <c r="E19" s="28">
        <v>22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51</v>
      </c>
      <c r="J20" s="7" t="s">
        <v>18</v>
      </c>
      <c r="K20" s="7" t="s">
        <v>106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14</v>
      </c>
      <c r="R20" s="29" t="s">
        <v>37</v>
      </c>
    </row>
    <row r="21" spans="1:18" ht="12.95" customHeight="1" x14ac:dyDescent="0.2">
      <c r="A21" s="47" t="s">
        <v>65</v>
      </c>
      <c r="B21" s="49" t="s">
        <v>47</v>
      </c>
      <c r="C21" s="48">
        <v>30025.455000000002</v>
      </c>
      <c r="D21" s="10"/>
      <c r="E21">
        <f t="shared" ref="E21:E33" si="0">+(C21-C$7)/C$8</f>
        <v>-1340.9982384710174</v>
      </c>
      <c r="F21">
        <f t="shared" ref="F21:F33" si="1">ROUND(2*E21,0)/2</f>
        <v>-1341</v>
      </c>
      <c r="G21">
        <f t="shared" ref="G21:G33" si="2">+C21-(C$7+F21*C$8)</f>
        <v>4.3073000051663257E-3</v>
      </c>
      <c r="K21">
        <f>+G21</f>
        <v>4.3073000051663257E-3</v>
      </c>
      <c r="O21">
        <f t="shared" ref="O21:O33" ca="1" si="3">+C$11+C$12*$F21</f>
        <v>7.0556033493969477E-3</v>
      </c>
      <c r="Q21" s="2">
        <f t="shared" ref="Q21:Q33" si="4">+C21-15018.5</f>
        <v>15006.955000000002</v>
      </c>
    </row>
    <row r="22" spans="1:18" ht="12.95" customHeight="1" x14ac:dyDescent="0.2">
      <c r="A22" s="47" t="s">
        <v>65</v>
      </c>
      <c r="B22" s="49" t="s">
        <v>47</v>
      </c>
      <c r="C22" s="48">
        <v>30382.45</v>
      </c>
      <c r="D22" s="10"/>
      <c r="E22">
        <f t="shared" si="0"/>
        <v>-1195.0002725742484</v>
      </c>
      <c r="F22">
        <f t="shared" si="1"/>
        <v>-1195</v>
      </c>
      <c r="G22">
        <f t="shared" si="2"/>
        <v>-6.6649999644141644E-4</v>
      </c>
      <c r="K22">
        <f>+G22</f>
        <v>-6.6649999644141644E-4</v>
      </c>
      <c r="O22">
        <f t="shared" ca="1" si="3"/>
        <v>7.1901071248949957E-3</v>
      </c>
      <c r="Q22" s="2">
        <f t="shared" si="4"/>
        <v>15363.95</v>
      </c>
    </row>
    <row r="23" spans="1:18" ht="12.95" customHeight="1" x14ac:dyDescent="0.2">
      <c r="A23" s="47" t="s">
        <v>65</v>
      </c>
      <c r="B23" s="49" t="s">
        <v>47</v>
      </c>
      <c r="C23" s="48">
        <v>31167.38</v>
      </c>
      <c r="D23" s="10"/>
      <c r="E23">
        <f t="shared" si="0"/>
        <v>-873.99246190084602</v>
      </c>
      <c r="F23">
        <f t="shared" si="1"/>
        <v>-874</v>
      </c>
      <c r="G23">
        <f t="shared" si="2"/>
        <v>1.8432200002280297E-2</v>
      </c>
      <c r="K23">
        <f>+G23</f>
        <v>1.8432200002280297E-2</v>
      </c>
      <c r="O23">
        <f t="shared" ca="1" si="3"/>
        <v>7.4858311792434431E-3</v>
      </c>
      <c r="Q23" s="2">
        <f t="shared" si="4"/>
        <v>16148.880000000001</v>
      </c>
    </row>
    <row r="24" spans="1:18" ht="12.95" customHeight="1" x14ac:dyDescent="0.2">
      <c r="A24" s="47" t="s">
        <v>65</v>
      </c>
      <c r="B24" s="49" t="s">
        <v>47</v>
      </c>
      <c r="C24" s="48">
        <v>32233.465</v>
      </c>
      <c r="D24" s="10"/>
      <c r="E24">
        <f t="shared" si="0"/>
        <v>-438.00248592623188</v>
      </c>
      <c r="F24">
        <f t="shared" si="1"/>
        <v>-438</v>
      </c>
      <c r="G24">
        <f t="shared" si="2"/>
        <v>-6.0785999994550366E-3</v>
      </c>
      <c r="K24">
        <f>+G24</f>
        <v>-6.0785999994550366E-3</v>
      </c>
      <c r="O24">
        <f t="shared" ca="1" si="3"/>
        <v>7.887499988265009E-3</v>
      </c>
      <c r="Q24" s="2">
        <f t="shared" si="4"/>
        <v>17214.965</v>
      </c>
    </row>
    <row r="25" spans="1:18" ht="12.95" customHeight="1" x14ac:dyDescent="0.2">
      <c r="A25" s="31" t="s">
        <v>40</v>
      </c>
      <c r="C25" s="10">
        <v>33304.470999999998</v>
      </c>
      <c r="D25" s="10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8.2910113147591519E-3</v>
      </c>
      <c r="Q25" s="2">
        <f t="shared" si="4"/>
        <v>18285.970999999998</v>
      </c>
    </row>
    <row r="26" spans="1:18" ht="12.95" customHeight="1" x14ac:dyDescent="0.2">
      <c r="A26" s="47" t="s">
        <v>65</v>
      </c>
      <c r="B26" s="49" t="s">
        <v>47</v>
      </c>
      <c r="C26" s="48">
        <v>33304.519999999997</v>
      </c>
      <c r="D26" s="10"/>
      <c r="E26">
        <f t="shared" si="0"/>
        <v>2.0039217156558868E-2</v>
      </c>
      <c r="F26">
        <f t="shared" si="1"/>
        <v>0</v>
      </c>
      <c r="G26">
        <f t="shared" si="2"/>
        <v>4.8999999999068677E-2</v>
      </c>
      <c r="K26">
        <f t="shared" ref="K26:K31" si="5">+G26</f>
        <v>4.8999999999068677E-2</v>
      </c>
      <c r="O26">
        <f t="shared" ca="1" si="3"/>
        <v>8.2910113147591519E-3</v>
      </c>
      <c r="Q26" s="2">
        <f t="shared" si="4"/>
        <v>18286.019999999997</v>
      </c>
    </row>
    <row r="27" spans="1:18" ht="12.95" customHeight="1" x14ac:dyDescent="0.2">
      <c r="A27" s="47" t="s">
        <v>65</v>
      </c>
      <c r="B27" s="49" t="s">
        <v>47</v>
      </c>
      <c r="C27" s="48">
        <v>34764.28</v>
      </c>
      <c r="D27" s="10"/>
      <c r="E27">
        <f t="shared" si="0"/>
        <v>597.00876650316479</v>
      </c>
      <c r="F27">
        <f t="shared" si="1"/>
        <v>597</v>
      </c>
      <c r="G27">
        <f t="shared" si="2"/>
        <v>2.1435900001961272E-2</v>
      </c>
      <c r="K27">
        <f t="shared" si="5"/>
        <v>2.1435900001961272E-2</v>
      </c>
      <c r="O27">
        <f t="shared" ca="1" si="3"/>
        <v>8.8410027803230862E-3</v>
      </c>
      <c r="Q27" s="2">
        <f t="shared" si="4"/>
        <v>19745.78</v>
      </c>
    </row>
    <row r="28" spans="1:18" ht="12.95" customHeight="1" x14ac:dyDescent="0.2">
      <c r="A28" s="47" t="s">
        <v>65</v>
      </c>
      <c r="B28" s="49" t="s">
        <v>47</v>
      </c>
      <c r="C28" s="48">
        <v>34776.46</v>
      </c>
      <c r="D28" s="10"/>
      <c r="E28">
        <f t="shared" si="0"/>
        <v>601.98994333931853</v>
      </c>
      <c r="F28">
        <f t="shared" si="1"/>
        <v>602</v>
      </c>
      <c r="G28">
        <f t="shared" si="2"/>
        <v>-2.4590599998191465E-2</v>
      </c>
      <c r="K28">
        <f t="shared" si="5"/>
        <v>-2.4590599998191465E-2</v>
      </c>
      <c r="O28">
        <f t="shared" ca="1" si="3"/>
        <v>8.8456090740045255E-3</v>
      </c>
      <c r="Q28" s="2">
        <f t="shared" si="4"/>
        <v>19757.96</v>
      </c>
    </row>
    <row r="29" spans="1:18" ht="12.95" customHeight="1" x14ac:dyDescent="0.2">
      <c r="A29" s="47" t="s">
        <v>65</v>
      </c>
      <c r="B29" s="49" t="s">
        <v>47</v>
      </c>
      <c r="C29" s="48">
        <v>35160.377</v>
      </c>
      <c r="D29" s="10"/>
      <c r="E29">
        <f t="shared" si="0"/>
        <v>758.99802769117287</v>
      </c>
      <c r="F29">
        <f t="shared" si="1"/>
        <v>759</v>
      </c>
      <c r="G29">
        <f t="shared" si="2"/>
        <v>-4.822700000659097E-3</v>
      </c>
      <c r="K29">
        <f t="shared" si="5"/>
        <v>-4.822700000659097E-3</v>
      </c>
      <c r="O29">
        <f t="shared" ca="1" si="3"/>
        <v>8.9902466956017415E-3</v>
      </c>
      <c r="Q29" s="2">
        <f t="shared" si="4"/>
        <v>20141.877</v>
      </c>
    </row>
    <row r="30" spans="1:18" ht="12.95" customHeight="1" x14ac:dyDescent="0.2">
      <c r="A30" s="47" t="s">
        <v>65</v>
      </c>
      <c r="B30" s="49" t="s">
        <v>47</v>
      </c>
      <c r="C30" s="48">
        <v>35165.279999999999</v>
      </c>
      <c r="D30" s="10"/>
      <c r="E30">
        <f t="shared" si="0"/>
        <v>761.00317629771257</v>
      </c>
      <c r="F30">
        <f t="shared" si="1"/>
        <v>761</v>
      </c>
      <c r="G30">
        <f t="shared" si="2"/>
        <v>7.7667000005021691E-3</v>
      </c>
      <c r="K30">
        <f t="shared" si="5"/>
        <v>7.7667000005021691E-3</v>
      </c>
      <c r="O30">
        <f t="shared" ca="1" si="3"/>
        <v>8.9920892130743169E-3</v>
      </c>
      <c r="Q30" s="2">
        <f t="shared" si="4"/>
        <v>20146.78</v>
      </c>
    </row>
    <row r="31" spans="1:18" ht="12.95" customHeight="1" x14ac:dyDescent="0.2">
      <c r="A31" s="47" t="s">
        <v>65</v>
      </c>
      <c r="B31" s="49" t="s">
        <v>47</v>
      </c>
      <c r="C31" s="48">
        <v>36637.31</v>
      </c>
      <c r="D31" s="10"/>
      <c r="E31">
        <f t="shared" si="0"/>
        <v>1363.0098871452633</v>
      </c>
      <c r="F31">
        <f t="shared" si="1"/>
        <v>1363</v>
      </c>
      <c r="G31">
        <f t="shared" si="2"/>
        <v>2.4176099999749567E-2</v>
      </c>
      <c r="K31">
        <f t="shared" si="5"/>
        <v>2.4176099999749567E-2</v>
      </c>
      <c r="O31">
        <f t="shared" ca="1" si="3"/>
        <v>9.5466869723196922E-3</v>
      </c>
      <c r="Q31" s="2">
        <f t="shared" si="4"/>
        <v>21618.809999999998</v>
      </c>
    </row>
    <row r="32" spans="1:18" ht="12.95" customHeight="1" x14ac:dyDescent="0.2">
      <c r="A32" s="32" t="s">
        <v>46</v>
      </c>
      <c r="B32" s="33" t="s">
        <v>47</v>
      </c>
      <c r="C32" s="32">
        <v>54866.305099999998</v>
      </c>
      <c r="D32" s="50">
        <v>1E-3</v>
      </c>
      <c r="E32">
        <f t="shared" si="0"/>
        <v>8818.0056292205809</v>
      </c>
      <c r="F32">
        <f t="shared" si="1"/>
        <v>8818</v>
      </c>
      <c r="G32">
        <f t="shared" si="2"/>
        <v>1.3764600000286009E-2</v>
      </c>
      <c r="I32">
        <f>+G32</f>
        <v>1.3764600000286009E-2</v>
      </c>
      <c r="O32">
        <f t="shared" ca="1" si="3"/>
        <v>1.6414670851346708E-2</v>
      </c>
      <c r="Q32" s="2">
        <f t="shared" si="4"/>
        <v>39847.805099999998</v>
      </c>
    </row>
    <row r="33" spans="1:17" ht="12.95" customHeight="1" x14ac:dyDescent="0.2">
      <c r="A33" s="32" t="s">
        <v>48</v>
      </c>
      <c r="B33" s="33" t="s">
        <v>47</v>
      </c>
      <c r="C33" s="32">
        <v>55609.652800000003</v>
      </c>
      <c r="D33" s="32">
        <v>6.9999999999999999E-4</v>
      </c>
      <c r="E33">
        <f t="shared" si="0"/>
        <v>9122.007792147353</v>
      </c>
      <c r="F33">
        <f t="shared" si="1"/>
        <v>9122</v>
      </c>
      <c r="G33">
        <f t="shared" si="2"/>
        <v>1.9053400006669108E-2</v>
      </c>
      <c r="I33">
        <f>+G33</f>
        <v>1.9053400006669108E-2</v>
      </c>
      <c r="O33">
        <f t="shared" ca="1" si="3"/>
        <v>1.6694733507178261E-2</v>
      </c>
      <c r="Q33" s="2">
        <f t="shared" si="4"/>
        <v>40591.152800000003</v>
      </c>
    </row>
    <row r="34" spans="1:17" ht="12.95" customHeight="1" x14ac:dyDescent="0.2">
      <c r="C34" s="10"/>
      <c r="D34" s="10"/>
    </row>
    <row r="35" spans="1:17" ht="12.95" customHeight="1" x14ac:dyDescent="0.2">
      <c r="C35" s="10"/>
      <c r="D35" s="10"/>
    </row>
    <row r="36" spans="1:17" ht="12.95" customHeight="1" x14ac:dyDescent="0.2">
      <c r="C36" s="10"/>
      <c r="D36" s="10"/>
    </row>
    <row r="37" spans="1:17" ht="12.95" customHeight="1" x14ac:dyDescent="0.2">
      <c r="C37" s="10"/>
      <c r="D37" s="10"/>
    </row>
    <row r="38" spans="1:17" ht="12.95" customHeight="1" x14ac:dyDescent="0.2">
      <c r="C38" s="10"/>
      <c r="D38" s="10"/>
    </row>
    <row r="39" spans="1:17" ht="12.95" customHeight="1" x14ac:dyDescent="0.2">
      <c r="C39" s="10"/>
      <c r="D39" s="10"/>
    </row>
    <row r="40" spans="1:17" ht="12.95" customHeight="1" x14ac:dyDescent="0.2">
      <c r="C40" s="10"/>
      <c r="D40" s="10"/>
    </row>
    <row r="41" spans="1:17" ht="12.95" customHeight="1" x14ac:dyDescent="0.2">
      <c r="C41" s="10"/>
      <c r="D41" s="10"/>
    </row>
    <row r="42" spans="1:17" ht="12.95" customHeight="1" x14ac:dyDescent="0.2">
      <c r="C42" s="10"/>
      <c r="D42" s="10"/>
    </row>
    <row r="43" spans="1:17" ht="12.95" customHeight="1" x14ac:dyDescent="0.2">
      <c r="C43" s="10"/>
      <c r="D43" s="10"/>
    </row>
    <row r="44" spans="1:17" ht="12.95" customHeight="1" x14ac:dyDescent="0.2">
      <c r="C44" s="10"/>
      <c r="D44" s="10"/>
    </row>
    <row r="45" spans="1:17" ht="12.95" customHeight="1" x14ac:dyDescent="0.2">
      <c r="C45" s="10"/>
      <c r="D45" s="10"/>
    </row>
    <row r="46" spans="1:17" ht="12.95" customHeight="1" x14ac:dyDescent="0.2">
      <c r="C46" s="10"/>
      <c r="D46" s="10"/>
    </row>
    <row r="47" spans="1:17" ht="12.95" customHeight="1" x14ac:dyDescent="0.2">
      <c r="C47" s="10"/>
      <c r="D47" s="10"/>
    </row>
    <row r="48" spans="1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workbookViewId="0">
      <selection activeCell="A13" sqref="A13:C2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49</v>
      </c>
      <c r="I1" s="35" t="s">
        <v>50</v>
      </c>
      <c r="J1" s="36" t="s">
        <v>51</v>
      </c>
    </row>
    <row r="2" spans="1:16" x14ac:dyDescent="0.2">
      <c r="I2" s="37" t="s">
        <v>52</v>
      </c>
      <c r="J2" s="38" t="s">
        <v>53</v>
      </c>
    </row>
    <row r="3" spans="1:16" x14ac:dyDescent="0.2">
      <c r="A3" s="39" t="s">
        <v>54</v>
      </c>
      <c r="I3" s="37" t="s">
        <v>55</v>
      </c>
      <c r="J3" s="38" t="s">
        <v>56</v>
      </c>
    </row>
    <row r="4" spans="1:16" x14ac:dyDescent="0.2">
      <c r="I4" s="37" t="s">
        <v>57</v>
      </c>
      <c r="J4" s="38" t="s">
        <v>56</v>
      </c>
    </row>
    <row r="5" spans="1:16" ht="13.5" thickBot="1" x14ac:dyDescent="0.25">
      <c r="I5" s="40" t="s">
        <v>58</v>
      </c>
      <c r="J5" s="41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BAVM 209 </v>
      </c>
      <c r="B11" s="3" t="str">
        <f t="shared" ref="B11:B22" si="1">IF(H11=INT(H11),"I","II")</f>
        <v>I</v>
      </c>
      <c r="C11" s="10">
        <f t="shared" ref="C11:C22" si="2">1*G11</f>
        <v>54866.305099999998</v>
      </c>
      <c r="D11" s="12" t="str">
        <f t="shared" ref="D11:D22" si="3">VLOOKUP(F11,I$1:J$5,2,FALSE)</f>
        <v>vis</v>
      </c>
      <c r="E11" s="42">
        <f>VLOOKUP(C11,Active!C$21:E$973,3,FALSE)</f>
        <v>8818.0056292205809</v>
      </c>
      <c r="F11" s="3" t="s">
        <v>58</v>
      </c>
      <c r="G11" s="12" t="str">
        <f t="shared" ref="G11:G22" si="4">MID(I11,3,LEN(I11)-3)</f>
        <v>54866.3051</v>
      </c>
      <c r="H11" s="10">
        <f t="shared" ref="H11:H22" si="5">1*K11</f>
        <v>8818</v>
      </c>
      <c r="I11" s="43" t="s">
        <v>93</v>
      </c>
      <c r="J11" s="44" t="s">
        <v>94</v>
      </c>
      <c r="K11" s="43">
        <v>8818</v>
      </c>
      <c r="L11" s="43" t="s">
        <v>95</v>
      </c>
      <c r="M11" s="44" t="s">
        <v>96</v>
      </c>
      <c r="N11" s="44" t="s">
        <v>97</v>
      </c>
      <c r="O11" s="45" t="s">
        <v>98</v>
      </c>
      <c r="P11" s="46" t="s">
        <v>99</v>
      </c>
    </row>
    <row r="12" spans="1:16" ht="12.75" customHeight="1" thickBot="1" x14ac:dyDescent="0.25">
      <c r="A12" s="10" t="str">
        <f t="shared" si="0"/>
        <v>IBVS 5992 </v>
      </c>
      <c r="B12" s="3" t="str">
        <f t="shared" si="1"/>
        <v>I</v>
      </c>
      <c r="C12" s="10">
        <f t="shared" si="2"/>
        <v>55609.652800000003</v>
      </c>
      <c r="D12" s="12" t="str">
        <f t="shared" si="3"/>
        <v>vis</v>
      </c>
      <c r="E12" s="42">
        <f>VLOOKUP(C12,Active!C$21:E$973,3,FALSE)</f>
        <v>9122.007792147353</v>
      </c>
      <c r="F12" s="3" t="s">
        <v>58</v>
      </c>
      <c r="G12" s="12" t="str">
        <f t="shared" si="4"/>
        <v>55609.6528</v>
      </c>
      <c r="H12" s="10">
        <f t="shared" si="5"/>
        <v>9122</v>
      </c>
      <c r="I12" s="43" t="s">
        <v>100</v>
      </c>
      <c r="J12" s="44" t="s">
        <v>101</v>
      </c>
      <c r="K12" s="43" t="s">
        <v>102</v>
      </c>
      <c r="L12" s="43" t="s">
        <v>103</v>
      </c>
      <c r="M12" s="44" t="s">
        <v>96</v>
      </c>
      <c r="N12" s="44" t="s">
        <v>58</v>
      </c>
      <c r="O12" s="45" t="s">
        <v>104</v>
      </c>
      <c r="P12" s="46" t="s">
        <v>105</v>
      </c>
    </row>
    <row r="13" spans="1:16" ht="12.75" customHeight="1" thickBot="1" x14ac:dyDescent="0.25">
      <c r="A13" s="10" t="str">
        <f t="shared" si="0"/>
        <v> AHSB 7.172 </v>
      </c>
      <c r="B13" s="3" t="str">
        <f t="shared" si="1"/>
        <v>I</v>
      </c>
      <c r="C13" s="10">
        <f t="shared" si="2"/>
        <v>30025.455000000002</v>
      </c>
      <c r="D13" s="12" t="str">
        <f t="shared" si="3"/>
        <v>vis</v>
      </c>
      <c r="E13" s="42">
        <f>VLOOKUP(C13,Active!C$21:E$973,3,FALSE)</f>
        <v>-1340.9982384710174</v>
      </c>
      <c r="F13" s="3" t="s">
        <v>58</v>
      </c>
      <c r="G13" s="12" t="str">
        <f t="shared" si="4"/>
        <v>30025.455</v>
      </c>
      <c r="H13" s="10">
        <f t="shared" si="5"/>
        <v>-1341</v>
      </c>
      <c r="I13" s="43" t="s">
        <v>60</v>
      </c>
      <c r="J13" s="44" t="s">
        <v>61</v>
      </c>
      <c r="K13" s="43">
        <v>-1341</v>
      </c>
      <c r="L13" s="43" t="s">
        <v>62</v>
      </c>
      <c r="M13" s="44" t="s">
        <v>63</v>
      </c>
      <c r="N13" s="44"/>
      <c r="O13" s="45" t="s">
        <v>64</v>
      </c>
      <c r="P13" s="45" t="s">
        <v>65</v>
      </c>
    </row>
    <row r="14" spans="1:16" ht="12.75" customHeight="1" thickBot="1" x14ac:dyDescent="0.25">
      <c r="A14" s="10" t="str">
        <f t="shared" si="0"/>
        <v> AHSB 7.172 </v>
      </c>
      <c r="B14" s="3" t="str">
        <f t="shared" si="1"/>
        <v>I</v>
      </c>
      <c r="C14" s="10">
        <f t="shared" si="2"/>
        <v>30382.45</v>
      </c>
      <c r="D14" s="12" t="str">
        <f t="shared" si="3"/>
        <v>vis</v>
      </c>
      <c r="E14" s="42">
        <f>VLOOKUP(C14,Active!C$21:E$973,3,FALSE)</f>
        <v>-1195.0002725742484</v>
      </c>
      <c r="F14" s="3" t="s">
        <v>58</v>
      </c>
      <c r="G14" s="12" t="str">
        <f t="shared" si="4"/>
        <v>30382.450</v>
      </c>
      <c r="H14" s="10">
        <f t="shared" si="5"/>
        <v>-1195</v>
      </c>
      <c r="I14" s="43" t="s">
        <v>66</v>
      </c>
      <c r="J14" s="44" t="s">
        <v>67</v>
      </c>
      <c r="K14" s="43">
        <v>-1195</v>
      </c>
      <c r="L14" s="43" t="s">
        <v>68</v>
      </c>
      <c r="M14" s="44" t="s">
        <v>63</v>
      </c>
      <c r="N14" s="44"/>
      <c r="O14" s="45" t="s">
        <v>64</v>
      </c>
      <c r="P14" s="45" t="s">
        <v>65</v>
      </c>
    </row>
    <row r="15" spans="1:16" ht="12.75" customHeight="1" thickBot="1" x14ac:dyDescent="0.25">
      <c r="A15" s="10" t="str">
        <f t="shared" si="0"/>
        <v> AHSB 7.172 </v>
      </c>
      <c r="B15" s="3" t="str">
        <f t="shared" si="1"/>
        <v>I</v>
      </c>
      <c r="C15" s="10">
        <f t="shared" si="2"/>
        <v>31167.38</v>
      </c>
      <c r="D15" s="12" t="str">
        <f t="shared" si="3"/>
        <v>vis</v>
      </c>
      <c r="E15" s="42">
        <f>VLOOKUP(C15,Active!C$21:E$973,3,FALSE)</f>
        <v>-873.99246190084602</v>
      </c>
      <c r="F15" s="3" t="s">
        <v>58</v>
      </c>
      <c r="G15" s="12" t="str">
        <f t="shared" si="4"/>
        <v>31167.380</v>
      </c>
      <c r="H15" s="10">
        <f t="shared" si="5"/>
        <v>-874</v>
      </c>
      <c r="I15" s="43" t="s">
        <v>69</v>
      </c>
      <c r="J15" s="44" t="s">
        <v>70</v>
      </c>
      <c r="K15" s="43">
        <v>-874</v>
      </c>
      <c r="L15" s="43" t="s">
        <v>71</v>
      </c>
      <c r="M15" s="44" t="s">
        <v>63</v>
      </c>
      <c r="N15" s="44"/>
      <c r="O15" s="45" t="s">
        <v>64</v>
      </c>
      <c r="P15" s="45" t="s">
        <v>65</v>
      </c>
    </row>
    <row r="16" spans="1:16" ht="12.75" customHeight="1" thickBot="1" x14ac:dyDescent="0.25">
      <c r="A16" s="10" t="str">
        <f t="shared" si="0"/>
        <v> AHSB 7.172 </v>
      </c>
      <c r="B16" s="3" t="str">
        <f t="shared" si="1"/>
        <v>I</v>
      </c>
      <c r="C16" s="10">
        <f t="shared" si="2"/>
        <v>32233.465</v>
      </c>
      <c r="D16" s="12" t="str">
        <f t="shared" si="3"/>
        <v>vis</v>
      </c>
      <c r="E16" s="42">
        <f>VLOOKUP(C16,Active!C$21:E$973,3,FALSE)</f>
        <v>-438.00248592623188</v>
      </c>
      <c r="F16" s="3" t="s">
        <v>58</v>
      </c>
      <c r="G16" s="12" t="str">
        <f t="shared" si="4"/>
        <v>32233.465</v>
      </c>
      <c r="H16" s="10">
        <f t="shared" si="5"/>
        <v>-438</v>
      </c>
      <c r="I16" s="43" t="s">
        <v>72</v>
      </c>
      <c r="J16" s="44" t="s">
        <v>73</v>
      </c>
      <c r="K16" s="43">
        <v>-438</v>
      </c>
      <c r="L16" s="43" t="s">
        <v>74</v>
      </c>
      <c r="M16" s="44" t="s">
        <v>63</v>
      </c>
      <c r="N16" s="44"/>
      <c r="O16" s="45" t="s">
        <v>64</v>
      </c>
      <c r="P16" s="45" t="s">
        <v>65</v>
      </c>
    </row>
    <row r="17" spans="1:16" ht="12.75" customHeight="1" thickBot="1" x14ac:dyDescent="0.25">
      <c r="A17" s="10" t="str">
        <f t="shared" si="0"/>
        <v> AHSB 7.172 </v>
      </c>
      <c r="B17" s="3" t="str">
        <f t="shared" si="1"/>
        <v>I</v>
      </c>
      <c r="C17" s="10">
        <f t="shared" si="2"/>
        <v>33304.519999999997</v>
      </c>
      <c r="D17" s="12" t="str">
        <f t="shared" si="3"/>
        <v>vis</v>
      </c>
      <c r="E17" s="42">
        <f>VLOOKUP(C17,Active!C$21:E$973,3,FALSE)</f>
        <v>2.0039217156558868E-2</v>
      </c>
      <c r="F17" s="3" t="s">
        <v>58</v>
      </c>
      <c r="G17" s="12" t="str">
        <f t="shared" si="4"/>
        <v>33304.520</v>
      </c>
      <c r="H17" s="10">
        <f t="shared" si="5"/>
        <v>0</v>
      </c>
      <c r="I17" s="43" t="s">
        <v>75</v>
      </c>
      <c r="J17" s="44" t="s">
        <v>76</v>
      </c>
      <c r="K17" s="43">
        <v>0</v>
      </c>
      <c r="L17" s="43" t="s">
        <v>77</v>
      </c>
      <c r="M17" s="44" t="s">
        <v>63</v>
      </c>
      <c r="N17" s="44"/>
      <c r="O17" s="45" t="s">
        <v>64</v>
      </c>
      <c r="P17" s="45" t="s">
        <v>65</v>
      </c>
    </row>
    <row r="18" spans="1:16" ht="12.75" customHeight="1" thickBot="1" x14ac:dyDescent="0.25">
      <c r="A18" s="10" t="str">
        <f t="shared" si="0"/>
        <v> AHSB 7.172 </v>
      </c>
      <c r="B18" s="3" t="str">
        <f t="shared" si="1"/>
        <v>I</v>
      </c>
      <c r="C18" s="10">
        <f t="shared" si="2"/>
        <v>34764.28</v>
      </c>
      <c r="D18" s="12" t="str">
        <f t="shared" si="3"/>
        <v>vis</v>
      </c>
      <c r="E18" s="42">
        <f>VLOOKUP(C18,Active!C$21:E$973,3,FALSE)</f>
        <v>597.00876650316479</v>
      </c>
      <c r="F18" s="3" t="s">
        <v>58</v>
      </c>
      <c r="G18" s="12" t="str">
        <f t="shared" si="4"/>
        <v>34764.280</v>
      </c>
      <c r="H18" s="10">
        <f t="shared" si="5"/>
        <v>597</v>
      </c>
      <c r="I18" s="43" t="s">
        <v>78</v>
      </c>
      <c r="J18" s="44" t="s">
        <v>79</v>
      </c>
      <c r="K18" s="43">
        <v>597</v>
      </c>
      <c r="L18" s="43" t="s">
        <v>80</v>
      </c>
      <c r="M18" s="44" t="s">
        <v>63</v>
      </c>
      <c r="N18" s="44"/>
      <c r="O18" s="45" t="s">
        <v>64</v>
      </c>
      <c r="P18" s="45" t="s">
        <v>65</v>
      </c>
    </row>
    <row r="19" spans="1:16" ht="12.75" customHeight="1" thickBot="1" x14ac:dyDescent="0.25">
      <c r="A19" s="10" t="str">
        <f t="shared" si="0"/>
        <v> AHSB 7.172 </v>
      </c>
      <c r="B19" s="3" t="str">
        <f t="shared" si="1"/>
        <v>I</v>
      </c>
      <c r="C19" s="10">
        <f t="shared" si="2"/>
        <v>34776.46</v>
      </c>
      <c r="D19" s="12" t="str">
        <f t="shared" si="3"/>
        <v>vis</v>
      </c>
      <c r="E19" s="42">
        <f>VLOOKUP(C19,Active!C$21:E$973,3,FALSE)</f>
        <v>601.98994333931853</v>
      </c>
      <c r="F19" s="3" t="s">
        <v>58</v>
      </c>
      <c r="G19" s="12" t="str">
        <f t="shared" si="4"/>
        <v>34776.460</v>
      </c>
      <c r="H19" s="10">
        <f t="shared" si="5"/>
        <v>602</v>
      </c>
      <c r="I19" s="43" t="s">
        <v>81</v>
      </c>
      <c r="J19" s="44" t="s">
        <v>82</v>
      </c>
      <c r="K19" s="43">
        <v>602</v>
      </c>
      <c r="L19" s="43" t="s">
        <v>83</v>
      </c>
      <c r="M19" s="44" t="s">
        <v>63</v>
      </c>
      <c r="N19" s="44"/>
      <c r="O19" s="45" t="s">
        <v>64</v>
      </c>
      <c r="P19" s="45" t="s">
        <v>65</v>
      </c>
    </row>
    <row r="20" spans="1:16" ht="12.75" customHeight="1" thickBot="1" x14ac:dyDescent="0.25">
      <c r="A20" s="10" t="str">
        <f t="shared" si="0"/>
        <v> AHSB 7.172 </v>
      </c>
      <c r="B20" s="3" t="str">
        <f t="shared" si="1"/>
        <v>I</v>
      </c>
      <c r="C20" s="10">
        <f t="shared" si="2"/>
        <v>35160.377</v>
      </c>
      <c r="D20" s="12" t="str">
        <f t="shared" si="3"/>
        <v>vis</v>
      </c>
      <c r="E20" s="42">
        <f>VLOOKUP(C20,Active!C$21:E$973,3,FALSE)</f>
        <v>758.99802769117287</v>
      </c>
      <c r="F20" s="3" t="s">
        <v>58</v>
      </c>
      <c r="G20" s="12" t="str">
        <f t="shared" si="4"/>
        <v>35160.377</v>
      </c>
      <c r="H20" s="10">
        <f t="shared" si="5"/>
        <v>759</v>
      </c>
      <c r="I20" s="43" t="s">
        <v>84</v>
      </c>
      <c r="J20" s="44" t="s">
        <v>85</v>
      </c>
      <c r="K20" s="43">
        <v>759</v>
      </c>
      <c r="L20" s="43" t="s">
        <v>86</v>
      </c>
      <c r="M20" s="44" t="s">
        <v>63</v>
      </c>
      <c r="N20" s="44"/>
      <c r="O20" s="45" t="s">
        <v>64</v>
      </c>
      <c r="P20" s="45" t="s">
        <v>65</v>
      </c>
    </row>
    <row r="21" spans="1:16" ht="12.75" customHeight="1" thickBot="1" x14ac:dyDescent="0.25">
      <c r="A21" s="10" t="str">
        <f t="shared" si="0"/>
        <v> AHSB 7.172 </v>
      </c>
      <c r="B21" s="3" t="str">
        <f t="shared" si="1"/>
        <v>I</v>
      </c>
      <c r="C21" s="10">
        <f t="shared" si="2"/>
        <v>35165.279999999999</v>
      </c>
      <c r="D21" s="12" t="str">
        <f t="shared" si="3"/>
        <v>vis</v>
      </c>
      <c r="E21" s="42">
        <f>VLOOKUP(C21,Active!C$21:E$973,3,FALSE)</f>
        <v>761.00317629771257</v>
      </c>
      <c r="F21" s="3" t="s">
        <v>58</v>
      </c>
      <c r="G21" s="12" t="str">
        <f t="shared" si="4"/>
        <v>35165.280</v>
      </c>
      <c r="H21" s="10">
        <f t="shared" si="5"/>
        <v>761</v>
      </c>
      <c r="I21" s="43" t="s">
        <v>87</v>
      </c>
      <c r="J21" s="44" t="s">
        <v>88</v>
      </c>
      <c r="K21" s="43">
        <v>761</v>
      </c>
      <c r="L21" s="43" t="s">
        <v>89</v>
      </c>
      <c r="M21" s="44" t="s">
        <v>63</v>
      </c>
      <c r="N21" s="44"/>
      <c r="O21" s="45" t="s">
        <v>64</v>
      </c>
      <c r="P21" s="45" t="s">
        <v>65</v>
      </c>
    </row>
    <row r="22" spans="1:16" ht="12.75" customHeight="1" thickBot="1" x14ac:dyDescent="0.25">
      <c r="A22" s="10" t="str">
        <f t="shared" si="0"/>
        <v> AHSB 7.172 </v>
      </c>
      <c r="B22" s="3" t="str">
        <f t="shared" si="1"/>
        <v>I</v>
      </c>
      <c r="C22" s="10">
        <f t="shared" si="2"/>
        <v>36637.31</v>
      </c>
      <c r="D22" s="12" t="str">
        <f t="shared" si="3"/>
        <v>vis</v>
      </c>
      <c r="E22" s="42">
        <f>VLOOKUP(C22,Active!C$21:E$973,3,FALSE)</f>
        <v>1363.0098871452633</v>
      </c>
      <c r="F22" s="3" t="s">
        <v>58</v>
      </c>
      <c r="G22" s="12" t="str">
        <f t="shared" si="4"/>
        <v>36637.310</v>
      </c>
      <c r="H22" s="10">
        <f t="shared" si="5"/>
        <v>1363</v>
      </c>
      <c r="I22" s="43" t="s">
        <v>90</v>
      </c>
      <c r="J22" s="44" t="s">
        <v>91</v>
      </c>
      <c r="K22" s="43">
        <v>1363</v>
      </c>
      <c r="L22" s="43" t="s">
        <v>92</v>
      </c>
      <c r="M22" s="44" t="s">
        <v>63</v>
      </c>
      <c r="N22" s="44"/>
      <c r="O22" s="45" t="s">
        <v>64</v>
      </c>
      <c r="P22" s="45" t="s">
        <v>65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</sheetData>
  <phoneticPr fontId="7" type="noConversion"/>
  <hyperlinks>
    <hyperlink ref="P11" r:id="rId1" display="http://www.bav-astro.de/sfs/BAVM_link.php?BAVMnr=209"/>
    <hyperlink ref="P12" r:id="rId2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2024-02-20T06:05:43Z</dcterms:modified>
</cp:coreProperties>
</file>