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5A46FD-F053-448A-80F2-CE56427B26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5" i="1" l="1"/>
  <c r="C9" i="1"/>
  <c r="D9" i="1"/>
  <c r="Q23" i="1"/>
  <c r="Q22" i="1"/>
  <c r="G15" i="2"/>
  <c r="C15" i="2"/>
  <c r="C21" i="1"/>
  <c r="G14" i="2"/>
  <c r="C14" i="2"/>
  <c r="G13" i="2"/>
  <c r="C13" i="2"/>
  <c r="G12" i="2"/>
  <c r="C12" i="2"/>
  <c r="G18" i="2"/>
  <c r="C18" i="2"/>
  <c r="G11" i="2"/>
  <c r="C11" i="2"/>
  <c r="E11" i="2"/>
  <c r="G17" i="2"/>
  <c r="C17" i="2"/>
  <c r="G16" i="2"/>
  <c r="C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8" i="2"/>
  <c r="D18" i="2"/>
  <c r="B18" i="2"/>
  <c r="A18" i="2"/>
  <c r="H11" i="2"/>
  <c r="D11" i="2"/>
  <c r="B11" i="2"/>
  <c r="A11" i="2"/>
  <c r="H17" i="2"/>
  <c r="D17" i="2"/>
  <c r="B17" i="2"/>
  <c r="A17" i="2"/>
  <c r="H16" i="2"/>
  <c r="D16" i="2"/>
  <c r="B16" i="2"/>
  <c r="A16" i="2"/>
  <c r="Q28" i="1"/>
  <c r="Q29" i="1"/>
  <c r="Q30" i="1"/>
  <c r="Q27" i="1"/>
  <c r="E21" i="1"/>
  <c r="F21" i="1"/>
  <c r="F16" i="1"/>
  <c r="F17" i="1" s="1"/>
  <c r="C17" i="1"/>
  <c r="Q26" i="1"/>
  <c r="C7" i="1"/>
  <c r="E24" i="1"/>
  <c r="F24" i="1"/>
  <c r="C8" i="1"/>
  <c r="Q24" i="1"/>
  <c r="Q21" i="1"/>
  <c r="E14" i="2"/>
  <c r="E12" i="2"/>
  <c r="E16" i="2"/>
  <c r="G28" i="1"/>
  <c r="I28" i="1"/>
  <c r="E28" i="1"/>
  <c r="F28" i="1"/>
  <c r="G22" i="1"/>
  <c r="G21" i="1"/>
  <c r="H21" i="1"/>
  <c r="E27" i="1"/>
  <c r="F27" i="1"/>
  <c r="G27" i="1"/>
  <c r="I27" i="1"/>
  <c r="G30" i="1"/>
  <c r="I30" i="1"/>
  <c r="E25" i="1"/>
  <c r="F25" i="1"/>
  <c r="G25" i="1"/>
  <c r="J25" i="1"/>
  <c r="E30" i="1"/>
  <c r="F30" i="1"/>
  <c r="E26" i="1"/>
  <c r="F26" i="1"/>
  <c r="G26" i="1"/>
  <c r="I26" i="1"/>
  <c r="E23" i="1"/>
  <c r="F23" i="1"/>
  <c r="G23" i="1"/>
  <c r="J23" i="1"/>
  <c r="G24" i="1"/>
  <c r="I24" i="1"/>
  <c r="E22" i="1"/>
  <c r="F22" i="1"/>
  <c r="E29" i="1"/>
  <c r="F29" i="1"/>
  <c r="G29" i="1"/>
  <c r="I29" i="1"/>
  <c r="J22" i="1"/>
  <c r="E15" i="2"/>
  <c r="E13" i="2"/>
  <c r="E18" i="2"/>
  <c r="E17" i="2"/>
  <c r="C11" i="1"/>
  <c r="C12" i="1"/>
  <c r="C16" i="1" l="1"/>
  <c r="D18" i="1" s="1"/>
  <c r="O24" i="1"/>
  <c r="O25" i="1"/>
  <c r="O29" i="1"/>
  <c r="O30" i="1"/>
  <c r="O22" i="1"/>
  <c r="O21" i="1"/>
  <c r="O28" i="1"/>
  <c r="O26" i="1"/>
  <c r="C15" i="1"/>
  <c r="O23" i="1"/>
  <c r="O27" i="1"/>
  <c r="F18" i="1" l="1"/>
  <c r="F19" i="1" s="1"/>
  <c r="C18" i="1"/>
</calcChain>
</file>

<file path=xl/sharedStrings.xml><?xml version="1.0" encoding="utf-8"?>
<sst xmlns="http://schemas.openxmlformats.org/spreadsheetml/2006/main" count="139" uniqueCount="96">
  <si>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</si>
  <si>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</si>
  <si>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</si>
  <si>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</si>
  <si>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</si>
  <si>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</si>
  <si>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</si>
  <si>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</si>
  <si>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</si>
  <si>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</si>
  <si>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</si>
  <si>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</si>
  <si>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</si>
  <si>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</si>
  <si>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</si>
  <si>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</si>
  <si>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</si>
  <si>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</si>
  <si>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</si>
  <si>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</si>
  <si>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</si>
  <si>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</si>
  <si>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</si>
  <si>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</si>
  <si>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</si>
  <si>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</si>
  <si>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</si>
  <si>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</si>
  <si>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</si>
  <si>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EA/D</t>
  </si>
  <si>
    <t>IBVS 5583</t>
  </si>
  <si>
    <t>I</t>
  </si>
  <si>
    <t># of data points:</t>
  </si>
  <si>
    <t xml:space="preserve">06 55 00.9 +00 07 19 </t>
  </si>
  <si>
    <t>OEJV0094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</si>
  <si>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</si>
  <si>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</si>
  <si>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</si>
  <si>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</si>
  <si>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</si>
  <si>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</si>
  <si>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</si>
  <si>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</si>
  <si>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5992</t>
  </si>
  <si>
    <t>II</t>
  </si>
  <si>
    <t>IBVS 6063</t>
  </si>
  <si>
    <t>p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</si>
  <si>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</si>
  <si>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</si>
  <si>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</si>
  <si>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</si>
  <si>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</si>
  <si>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</si>
  <si>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</si>
  <si>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</si>
  <si>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</si>
  <si>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</si>
  <si>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</si>
  <si>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2451952.5091 </t>
  </si>
  <si>
    <t> 12.02.2001 00:13 </t>
  </si>
  <si>
    <t> 0.0790 </t>
  </si>
  <si>
    <t>E </t>
  </si>
  <si>
    <t>?</t>
  </si>
  <si>
    <t> R.Diethelm </t>
  </si>
  <si>
    <t> BBS 124 </t>
  </si>
  <si>
    <t>2452310.3974 </t>
  </si>
  <si>
    <t> 04.02.2002 21:32 </t>
  </si>
  <si>
    <t> 0.1162 </t>
  </si>
  <si>
    <t> E.Blättler </t>
  </si>
  <si>
    <t> BBS 127 </t>
  </si>
  <si>
    <t>2452672.3603 </t>
  </si>
  <si>
    <t> 01.02.2003 20:38 </t>
  </si>
  <si>
    <t> 0.1383 </t>
  </si>
  <si>
    <t>R</t>
  </si>
  <si>
    <t> M.Zejda </t>
  </si>
  <si>
    <t>IBVS 5583 </t>
  </si>
  <si>
    <t>2454505.5377 </t>
  </si>
  <si>
    <t> 09.02.2008 00:54 </t>
  </si>
  <si>
    <t> 0.0957 </t>
  </si>
  <si>
    <t>C </t>
  </si>
  <si>
    <t> F.Lomoz </t>
  </si>
  <si>
    <t>OEJV 0094 </t>
  </si>
  <si>
    <t>2455605.6381 </t>
  </si>
  <si>
    <t> 13.02.2011 03:18 </t>
  </si>
  <si>
    <t> 0.0596 </t>
  </si>
  <si>
    <t>IBVS 5992 </t>
  </si>
  <si>
    <t>2456338.7034 </t>
  </si>
  <si>
    <t> 15.02.2013 04:52 </t>
  </si>
  <si>
    <t> 0.0414 </t>
  </si>
  <si>
    <t>IBVS 6063 </t>
  </si>
  <si>
    <t>2456338.7039 </t>
  </si>
  <si>
    <t> 15.02.2013 04:53 </t>
  </si>
  <si>
    <t> 0.0419 </t>
  </si>
  <si>
    <t>B</t>
  </si>
  <si>
    <t>V0455 Mon / GSC na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</si>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</sst>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2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0" fillId="3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V455 Mon - O-C Diagr.</a:t>
            </a:r>
          </a:p>
        </c:rich>
      </c:tx>
      <c:layout>
        <c:manualLayout>
          <c:xMode val="edge"/>
          <c:yMode val="edge"/>
          <c:x val="0.361874329521410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3-4CB4-A231-5E3DE6DDE1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-0.54331215999263804</c:v>
                </c:pt>
                <c:pt idx="5">
                  <c:v>-0.58590440000261879</c:v>
                </c:pt>
                <c:pt idx="6">
                  <c:v>-0.62200207999558188</c:v>
                </c:pt>
                <c:pt idx="7">
                  <c:v>-0.64021663999301381</c:v>
                </c:pt>
                <c:pt idx="8">
                  <c:v>-0.63971663999109296</c:v>
                </c:pt>
                <c:pt idx="9">
                  <c:v>-0.63965663999260869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3-4CB4-A231-5E3DE6DDE1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-0.60260943999310257</c:v>
                </c:pt>
                <c:pt idx="2">
                  <c:v>-0.56539743999019265</c:v>
                </c:pt>
                <c:pt idx="4">
                  <c:v>-0.58591439999872819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F3-4CB4-A231-5E3DE6DDE1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F3-4CB4-A231-5E3DE6DDE1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F3-4CB4-A231-5E3DE6DDE1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F3-4CB4-A231-5E3DE6DDE1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F3-4CB4-A231-5E3DE6DDE1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-0.28112961418655674</c:v>
                </c:pt>
                <c:pt idx="1">
                  <c:v>-0.56179090111445018</c:v>
                </c:pt>
                <c:pt idx="2">
                  <c:v>-0.56752715585954083</c:v>
                </c:pt>
                <c:pt idx="3">
                  <c:v>-0.57332896780171827</c:v>
                </c:pt>
                <c:pt idx="4">
                  <c:v>-0.60271498139585411</c:v>
                </c:pt>
                <c:pt idx="5">
                  <c:v>-0.60271498139585411</c:v>
                </c:pt>
                <c:pt idx="6">
                  <c:v>-0.62034986741219011</c:v>
                </c:pt>
                <c:pt idx="7">
                  <c:v>-0.63210099498999006</c:v>
                </c:pt>
                <c:pt idx="8">
                  <c:v>-0.63210099498999006</c:v>
                </c:pt>
                <c:pt idx="9">
                  <c:v>-0.63210099498999006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F3-4CB4-A231-5E3DE6DDE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765208"/>
        <c:axId val="1"/>
      </c:scatterChart>
      <c:valAx>
        <c:axId val="85476520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76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85962033421104"/>
          <c:y val="0.92073298764483702"/>
          <c:w val="0.7463656138297738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V455 Mon - O-C Diagr.</a:t>
            </a:r>
          </a:p>
        </c:rich>
      </c:tx>
      <c:layout>
        <c:manualLayout>
          <c:xMode val="edge"/>
          <c:yMode val="edge"/>
          <c:x val="0.361290322580645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D9-4A1C-A714-BF607C0ED1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-0.54331215999263804</c:v>
                </c:pt>
                <c:pt idx="5">
                  <c:v>-0.58590440000261879</c:v>
                </c:pt>
                <c:pt idx="6">
                  <c:v>-0.62200207999558188</c:v>
                </c:pt>
                <c:pt idx="7">
                  <c:v>-0.64021663999301381</c:v>
                </c:pt>
                <c:pt idx="8">
                  <c:v>-0.63971663999109296</c:v>
                </c:pt>
                <c:pt idx="9">
                  <c:v>-0.63965663999260869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D9-4A1C-A714-BF607C0ED1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-0.60260943999310257</c:v>
                </c:pt>
                <c:pt idx="2">
                  <c:v>-0.56539743999019265</c:v>
                </c:pt>
                <c:pt idx="4">
                  <c:v>-0.58591439999872819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D9-4A1C-A714-BF607C0ED1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D9-4A1C-A714-BF607C0ED1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D9-4A1C-A714-BF607C0ED1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D9-4A1C-A714-BF607C0ED1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3">
                    <c:v>4.5999999999999999E-3</c:v>
                  </c:pt>
                  <c:pt idx="5">
                    <c:v>1.4E-3</c:v>
                  </c:pt>
                  <c:pt idx="6">
                    <c:v>4.0000000000000002E-4</c:v>
                  </c:pt>
                  <c:pt idx="7">
                    <c:v>5.1999999999999995E-4</c:v>
                  </c:pt>
                  <c:pt idx="8">
                    <c:v>3.6000000000000002E-4</c:v>
                  </c:pt>
                  <c:pt idx="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D9-4A1C-A714-BF607C0ED1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25687</c:v>
                </c:pt>
                <c:pt idx="2">
                  <c:v>26212</c:v>
                </c:pt>
                <c:pt idx="3">
                  <c:v>26743</c:v>
                </c:pt>
                <c:pt idx="4">
                  <c:v>29432.5</c:v>
                </c:pt>
                <c:pt idx="5">
                  <c:v>29432.5</c:v>
                </c:pt>
                <c:pt idx="6">
                  <c:v>31046.5</c:v>
                </c:pt>
                <c:pt idx="7">
                  <c:v>32122</c:v>
                </c:pt>
                <c:pt idx="8">
                  <c:v>32122</c:v>
                </c:pt>
                <c:pt idx="9">
                  <c:v>32122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-0.28112961418655674</c:v>
                </c:pt>
                <c:pt idx="1">
                  <c:v>-0.56179090111445018</c:v>
                </c:pt>
                <c:pt idx="2">
                  <c:v>-0.56752715585954083</c:v>
                </c:pt>
                <c:pt idx="3">
                  <c:v>-0.57332896780171827</c:v>
                </c:pt>
                <c:pt idx="4">
                  <c:v>-0.60271498139585411</c:v>
                </c:pt>
                <c:pt idx="5">
                  <c:v>-0.60271498139585411</c:v>
                </c:pt>
                <c:pt idx="6">
                  <c:v>-0.62034986741219011</c:v>
                </c:pt>
                <c:pt idx="7">
                  <c:v>-0.63210099498999006</c:v>
                </c:pt>
                <c:pt idx="8">
                  <c:v>-0.63210099498999006</c:v>
                </c:pt>
                <c:pt idx="9">
                  <c:v>-0.63210099498999006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D9-4A1C-A714-BF607C0ED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764128"/>
        <c:axId val="1"/>
      </c:scatterChart>
      <c:valAx>
        <c:axId val="85476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764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35483870967741"/>
          <c:y val="0.92097264437689974"/>
          <c:w val="0.7451612903225806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95250</xdr:rowOff>
    </xdr:from>
    <xdr:to>
      <xdr:col>17</xdr:col>
      <xdr:colOff>76200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D28BE27-3F09-AA39-C18A-BA4E0029F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323850</xdr:colOff>
      <xdr:row>0</xdr:row>
      <xdr:rowOff>0</xdr:rowOff>
    </xdr:from>
    <xdr:to>
      <xdr:col>26</xdr:col>
      <xdr:colOff>571500</xdr:colOff>
      <xdr:row>18</xdr:row>
      <xdr:rowOff>76200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E7A5F83-ED76-BA51-DCFF-21066CE73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7109375" customWidth="1"/>
    <col min="3" max="3" width="11.85546875" customWidth="1"/>
    <col min="4" max="4" width="9.42578125" customWidth="1"/>
    <col min="5" max="5" width="10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94</v>
      </c>
    </row>
    <row r="2" spans="1:6">
      <c r="A2" t="s">
        <v>24</v>
      </c>
      <c r="B2" t="s">
        <v>29</v>
      </c>
      <c r="D2" s="12" t="s">
        <v>33</v>
      </c>
    </row>
    <row r="3" spans="1:6" ht="13.5" thickBot="1"/>
    <row r="4" spans="1:6" ht="14.25" thickTop="1" thickBot="1">
      <c r="A4" s="7" t="s">
        <v>0</v>
      </c>
      <c r="C4" s="3">
        <v>34444.31</v>
      </c>
      <c r="D4" s="4">
        <v>0.68162111999999997</v>
      </c>
    </row>
    <row r="5" spans="1:6" ht="13.5" thickTop="1">
      <c r="A5" s="16" t="s">
        <v>35</v>
      </c>
      <c r="B5" s="17"/>
      <c r="C5" s="18">
        <v>-9.5</v>
      </c>
      <c r="D5" s="17" t="s">
        <v>36</v>
      </c>
    </row>
    <row r="6" spans="1:6">
      <c r="A6" s="7" t="s">
        <v>1</v>
      </c>
    </row>
    <row r="7" spans="1:6">
      <c r="A7" t="s">
        <v>2</v>
      </c>
      <c r="C7">
        <f>+C4</f>
        <v>34444.31</v>
      </c>
    </row>
    <row r="8" spans="1:6">
      <c r="A8" t="s">
        <v>3</v>
      </c>
      <c r="C8">
        <f>+D4</f>
        <v>0.68162111999999997</v>
      </c>
    </row>
    <row r="9" spans="1:6">
      <c r="A9" s="31" t="s">
        <v>40</v>
      </c>
      <c r="B9" s="32">
        <v>22</v>
      </c>
      <c r="C9" s="20" t="str">
        <f>"F"&amp;B9</f>
        <v>F22</v>
      </c>
      <c r="D9" s="21" t="str">
        <f>"G"&amp;B9</f>
        <v>G22</v>
      </c>
    </row>
    <row r="10" spans="1:6" ht="13.5" thickBot="1">
      <c r="A10" s="17"/>
      <c r="B10" s="17"/>
      <c r="C10" s="6" t="s">
        <v>20</v>
      </c>
      <c r="D10" s="6" t="s">
        <v>21</v>
      </c>
      <c r="E10" s="17"/>
    </row>
    <row r="11" spans="1:6">
      <c r="A11" s="17" t="s">
        <v>16</v>
      </c>
      <c r="B11" s="17"/>
      <c r="C11" s="19">
        <f ca="1">INTERCEPT(INDIRECT($D$9):G992,INDIRECT($C$9):F992)</f>
        <v>-0.28112961418655674</v>
      </c>
      <c r="D11" s="5"/>
      <c r="E11" s="17"/>
    </row>
    <row r="12" spans="1:6">
      <c r="A12" s="17" t="s">
        <v>17</v>
      </c>
      <c r="B12" s="17"/>
      <c r="C12" s="19">
        <f ca="1">SLOPE(INDIRECT($D$9):G992,INDIRECT($C$9):F992)</f>
        <v>-1.092619951445842E-5</v>
      </c>
      <c r="D12" s="5"/>
      <c r="E12" s="17"/>
    </row>
    <row r="13" spans="1:6">
      <c r="A13" s="17" t="s">
        <v>19</v>
      </c>
      <c r="B13" s="17"/>
      <c r="C13" s="5" t="s">
        <v>14</v>
      </c>
    </row>
    <row r="14" spans="1:6">
      <c r="A14" s="17"/>
      <c r="B14" s="17"/>
      <c r="C14" s="17"/>
    </row>
    <row r="15" spans="1:6">
      <c r="A15" s="22" t="s">
        <v>18</v>
      </c>
      <c r="B15" s="17"/>
      <c r="C15" s="23">
        <f ca="1">(C7+C11)+(C8+C12)*INT(MAX(F21:F3533))</f>
        <v>56338.711515645002</v>
      </c>
      <c r="E15" s="24" t="s">
        <v>41</v>
      </c>
      <c r="F15" s="18">
        <v>1</v>
      </c>
    </row>
    <row r="16" spans="1:6">
      <c r="A16" s="26" t="s">
        <v>4</v>
      </c>
      <c r="B16" s="17"/>
      <c r="C16" s="27">
        <f ca="1">+C8+C12</f>
        <v>0.68161019380048549</v>
      </c>
      <c r="E16" s="24" t="s">
        <v>37</v>
      </c>
      <c r="F16" s="25">
        <f ca="1">NOW()+15018.5+$C$5/24</f>
        <v>60360.806695717591</v>
      </c>
    </row>
    <row r="17" spans="1:17" ht="13.5" thickBot="1">
      <c r="A17" s="24" t="s">
        <v>32</v>
      </c>
      <c r="B17" s="17"/>
      <c r="C17" s="17">
        <f>COUNT(C21:C2191)</f>
        <v>10</v>
      </c>
      <c r="E17" s="24" t="s">
        <v>42</v>
      </c>
      <c r="F17" s="25">
        <f ca="1">ROUND(2*(F16-$C$7)/$C$8,0)/2+F15</f>
        <v>38023</v>
      </c>
    </row>
    <row r="18" spans="1:17" ht="14.25" thickTop="1" thickBot="1">
      <c r="A18" s="26" t="s">
        <v>5</v>
      </c>
      <c r="B18" s="17"/>
      <c r="C18" s="29">
        <f ca="1">+C15</f>
        <v>56338.711515645002</v>
      </c>
      <c r="D18" s="30">
        <f ca="1">+C16</f>
        <v>0.68161019380048549</v>
      </c>
      <c r="E18" s="24" t="s">
        <v>38</v>
      </c>
      <c r="F18" s="21">
        <f ca="1">ROUND(2*(F16-$C$15)/$C$16,0)/2+F15</f>
        <v>5902</v>
      </c>
    </row>
    <row r="19" spans="1:17" ht="13.5" thickTop="1">
      <c r="E19" s="24" t="s">
        <v>39</v>
      </c>
      <c r="F19" s="28">
        <f ca="1">+$C$15+$C$16*F18-15018.5-$C$5/24</f>
        <v>45343.470712788803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49</v>
      </c>
      <c r="J20" s="9" t="s">
        <v>95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>
      <c r="A21" t="s">
        <v>12</v>
      </c>
      <c r="C21" s="40">
        <f>+C4</f>
        <v>34444.31</v>
      </c>
      <c r="D21" s="40" t="s">
        <v>14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H21">
        <f>+G21</f>
        <v>0</v>
      </c>
      <c r="O21">
        <f t="shared" ref="O21:O30" ca="1" si="2">+C$11+C$12*$F21</f>
        <v>-0.28112961418655674</v>
      </c>
      <c r="Q21" s="2">
        <f t="shared" ref="Q21:Q30" si="3">+C21-15018.5</f>
        <v>19425.809999999998</v>
      </c>
    </row>
    <row r="22" spans="1:17">
      <c r="A22" s="53" t="s">
        <v>64</v>
      </c>
      <c r="B22" s="54" t="s">
        <v>31</v>
      </c>
      <c r="C22" s="53">
        <v>51952.509100000003</v>
      </c>
      <c r="D22" s="40"/>
      <c r="E22">
        <f t="shared" si="0"/>
        <v>25686.115917300223</v>
      </c>
      <c r="F22" s="33">
        <f>ROUND(2*E22,0)/2+1</f>
        <v>25687</v>
      </c>
      <c r="G22">
        <f t="shared" si="1"/>
        <v>-0.60260943999310257</v>
      </c>
      <c r="J22">
        <f>+G22</f>
        <v>-0.60260943999310257</v>
      </c>
      <c r="O22">
        <f t="shared" ca="1" si="2"/>
        <v>-0.56179090111445018</v>
      </c>
      <c r="Q22" s="2">
        <f t="shared" si="3"/>
        <v>36934.009100000003</v>
      </c>
    </row>
    <row r="23" spans="1:17">
      <c r="A23" s="53" t="s">
        <v>69</v>
      </c>
      <c r="B23" s="54" t="s">
        <v>31</v>
      </c>
      <c r="C23" s="53">
        <v>52310.397400000002</v>
      </c>
      <c r="D23" s="40"/>
      <c r="E23">
        <f t="shared" si="0"/>
        <v>26211.170510679018</v>
      </c>
      <c r="F23" s="33">
        <f t="shared" ref="F23:F30" si="4">ROUND(2*E23,0)/2+1</f>
        <v>26212</v>
      </c>
      <c r="G23">
        <f t="shared" si="1"/>
        <v>-0.56539743999019265</v>
      </c>
      <c r="J23">
        <f>+G23</f>
        <v>-0.56539743999019265</v>
      </c>
      <c r="O23">
        <f t="shared" ca="1" si="2"/>
        <v>-0.56752715585954083</v>
      </c>
      <c r="Q23" s="2">
        <f t="shared" si="3"/>
        <v>37291.897400000002</v>
      </c>
    </row>
    <row r="24" spans="1:17">
      <c r="A24" s="11" t="s">
        <v>30</v>
      </c>
      <c r="B24" s="10" t="s">
        <v>31</v>
      </c>
      <c r="C24" s="55">
        <v>52672.3603</v>
      </c>
      <c r="D24" s="56">
        <v>4.5999999999999999E-3</v>
      </c>
      <c r="E24">
        <f t="shared" si="0"/>
        <v>26742.202911787714</v>
      </c>
      <c r="F24" s="33">
        <f t="shared" si="4"/>
        <v>26743</v>
      </c>
      <c r="G24">
        <f t="shared" si="1"/>
        <v>-0.54331215999263804</v>
      </c>
      <c r="I24">
        <f>+G24</f>
        <v>-0.54331215999263804</v>
      </c>
      <c r="O24">
        <f t="shared" ca="1" si="2"/>
        <v>-0.57332896780171827</v>
      </c>
      <c r="Q24" s="2">
        <f t="shared" si="3"/>
        <v>37653.8603</v>
      </c>
    </row>
    <row r="25" spans="1:17">
      <c r="A25" s="53" t="s">
        <v>81</v>
      </c>
      <c r="B25" s="54" t="s">
        <v>44</v>
      </c>
      <c r="C25" s="53">
        <v>54505.537700000001</v>
      </c>
      <c r="D25" s="40"/>
      <c r="E25">
        <f t="shared" si="0"/>
        <v>29431.640410437991</v>
      </c>
      <c r="F25" s="33">
        <f t="shared" si="4"/>
        <v>29432.5</v>
      </c>
      <c r="G25">
        <f t="shared" si="1"/>
        <v>-0.58591439999872819</v>
      </c>
      <c r="J25">
        <f>+G25</f>
        <v>-0.58591439999872819</v>
      </c>
      <c r="O25">
        <f t="shared" ca="1" si="2"/>
        <v>-0.60271498139585411</v>
      </c>
      <c r="Q25" s="2">
        <f t="shared" si="3"/>
        <v>39487.037700000001</v>
      </c>
    </row>
    <row r="26" spans="1:17">
      <c r="A26" s="13" t="s">
        <v>34</v>
      </c>
      <c r="B26" s="14" t="s">
        <v>31</v>
      </c>
      <c r="C26" s="15">
        <v>54505.537709999997</v>
      </c>
      <c r="D26" s="15">
        <v>1.4E-3</v>
      </c>
      <c r="E26">
        <f t="shared" si="0"/>
        <v>29431.640425108893</v>
      </c>
      <c r="F26" s="33">
        <f t="shared" si="4"/>
        <v>29432.5</v>
      </c>
      <c r="G26">
        <f t="shared" si="1"/>
        <v>-0.58590440000261879</v>
      </c>
      <c r="I26">
        <f>+G26</f>
        <v>-0.58590440000261879</v>
      </c>
      <c r="O26">
        <f t="shared" ca="1" si="2"/>
        <v>-0.60271498139585411</v>
      </c>
      <c r="Q26" s="2">
        <f t="shared" si="3"/>
        <v>39487.037709999997</v>
      </c>
    </row>
    <row r="27" spans="1:17">
      <c r="A27" s="34" t="s">
        <v>43</v>
      </c>
      <c r="B27" s="35" t="s">
        <v>44</v>
      </c>
      <c r="C27" s="34">
        <v>55605.638099999996</v>
      </c>
      <c r="D27" s="34">
        <v>4.0000000000000002E-4</v>
      </c>
      <c r="E27">
        <f t="shared" si="0"/>
        <v>31045.587466538596</v>
      </c>
      <c r="F27" s="33">
        <f t="shared" si="4"/>
        <v>31046.5</v>
      </c>
      <c r="G27">
        <f t="shared" si="1"/>
        <v>-0.62200207999558188</v>
      </c>
      <c r="I27">
        <f>+G27</f>
        <v>-0.62200207999558188</v>
      </c>
      <c r="O27">
        <f t="shared" ca="1" si="2"/>
        <v>-0.62034986741219011</v>
      </c>
      <c r="Q27" s="2">
        <f t="shared" si="3"/>
        <v>40587.138099999996</v>
      </c>
    </row>
    <row r="28" spans="1:17">
      <c r="A28" s="36" t="s">
        <v>45</v>
      </c>
      <c r="B28" s="37" t="s">
        <v>46</v>
      </c>
      <c r="C28" s="38">
        <v>56338.703399999999</v>
      </c>
      <c r="D28" s="38">
        <v>5.1999999999999995E-4</v>
      </c>
      <c r="E28">
        <f t="shared" si="0"/>
        <v>32121.060744127179</v>
      </c>
      <c r="F28" s="33">
        <f t="shared" si="4"/>
        <v>32122</v>
      </c>
      <c r="G28">
        <f t="shared" si="1"/>
        <v>-0.64021663999301381</v>
      </c>
      <c r="I28">
        <f>+G28</f>
        <v>-0.64021663999301381</v>
      </c>
      <c r="O28">
        <f t="shared" ca="1" si="2"/>
        <v>-0.63210099498999006</v>
      </c>
      <c r="Q28" s="2">
        <f t="shared" si="3"/>
        <v>41320.203399999999</v>
      </c>
    </row>
    <row r="29" spans="1:17">
      <c r="A29" s="36" t="s">
        <v>45</v>
      </c>
      <c r="B29" s="37" t="s">
        <v>46</v>
      </c>
      <c r="C29" s="38">
        <v>56338.7039</v>
      </c>
      <c r="D29" s="38">
        <v>3.6000000000000002E-4</v>
      </c>
      <c r="E29">
        <f t="shared" si="0"/>
        <v>32121.061477672527</v>
      </c>
      <c r="F29" s="33">
        <f t="shared" si="4"/>
        <v>32122</v>
      </c>
      <c r="G29">
        <f t="shared" si="1"/>
        <v>-0.63971663999109296</v>
      </c>
      <c r="I29">
        <f>+G29</f>
        <v>-0.63971663999109296</v>
      </c>
      <c r="O29">
        <f t="shared" ca="1" si="2"/>
        <v>-0.63210099498999006</v>
      </c>
      <c r="Q29" s="2">
        <f t="shared" si="3"/>
        <v>41320.2039</v>
      </c>
    </row>
    <row r="30" spans="1:17">
      <c r="A30" s="36" t="s">
        <v>45</v>
      </c>
      <c r="B30" s="37" t="s">
        <v>46</v>
      </c>
      <c r="C30" s="38">
        <v>56338.703959999999</v>
      </c>
      <c r="D30" s="38">
        <v>4.6999999999999999E-4</v>
      </c>
      <c r="E30">
        <f t="shared" si="0"/>
        <v>32121.061565697968</v>
      </c>
      <c r="F30" s="33">
        <f t="shared" si="4"/>
        <v>32122</v>
      </c>
      <c r="G30">
        <f t="shared" si="1"/>
        <v>-0.63965663999260869</v>
      </c>
      <c r="I30">
        <f>+G30</f>
        <v>-0.63965663999260869</v>
      </c>
      <c r="O30">
        <f t="shared" ca="1" si="2"/>
        <v>-0.63210099498999006</v>
      </c>
      <c r="Q30" s="2">
        <f t="shared" si="3"/>
        <v>41320.203959999999</v>
      </c>
    </row>
    <row r="31" spans="1:17">
      <c r="B31" s="5"/>
      <c r="D31" s="5"/>
      <c r="Q31" s="2"/>
    </row>
    <row r="32" spans="1:17">
      <c r="D32" s="5"/>
      <c r="Q32" s="2"/>
    </row>
    <row r="33" spans="4:17">
      <c r="D33" s="5"/>
      <c r="Q33" s="2"/>
    </row>
    <row r="34" spans="4:17">
      <c r="D34" s="5"/>
    </row>
    <row r="35" spans="4:17">
      <c r="D35" s="5"/>
    </row>
    <row r="36" spans="4:17">
      <c r="D36" s="5"/>
    </row>
    <row r="37" spans="4:17">
      <c r="D37" s="5"/>
    </row>
    <row r="38" spans="4:17">
      <c r="D38" s="5"/>
    </row>
    <row r="39" spans="4:17">
      <c r="D39" s="5"/>
    </row>
    <row r="40" spans="4:17">
      <c r="D40" s="5"/>
    </row>
    <row r="41" spans="4:17">
      <c r="D41" s="5"/>
    </row>
    <row r="42" spans="4:17">
      <c r="D42" s="5"/>
    </row>
    <row r="43" spans="4:17">
      <c r="D43" s="5"/>
    </row>
    <row r="44" spans="4:17">
      <c r="D44" s="5"/>
    </row>
    <row r="45" spans="4:17">
      <c r="D45" s="5"/>
    </row>
    <row r="46" spans="4:17">
      <c r="D46" s="5"/>
    </row>
    <row r="47" spans="4:17">
      <c r="D47" s="5"/>
    </row>
    <row r="48" spans="4:17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workbookViewId="0">
      <selection activeCell="A16" sqref="A16:C18"/>
    </sheetView>
  </sheetViews>
  <sheetFormatPr defaultRowHeight="12.75"/>
  <cols>
    <col min="1" max="1" width="19.7109375" style="40" customWidth="1"/>
    <col min="2" max="2" width="4.42578125" style="17" customWidth="1"/>
    <col min="3" max="3" width="12.7109375" style="40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40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9" t="s">
        <v>47</v>
      </c>
      <c r="I1" s="41" t="s">
        <v>48</v>
      </c>
      <c r="J1" s="42" t="s">
        <v>49</v>
      </c>
    </row>
    <row r="2" spans="1:16">
      <c r="I2" s="43" t="s">
        <v>50</v>
      </c>
      <c r="J2" s="44" t="s">
        <v>51</v>
      </c>
    </row>
    <row r="3" spans="1:16">
      <c r="A3" s="45" t="s">
        <v>52</v>
      </c>
      <c r="I3" s="43" t="s">
        <v>53</v>
      </c>
      <c r="J3" s="44" t="s">
        <v>54</v>
      </c>
    </row>
    <row r="4" spans="1:16">
      <c r="I4" s="43" t="s">
        <v>55</v>
      </c>
      <c r="J4" s="44" t="s">
        <v>54</v>
      </c>
    </row>
    <row r="5" spans="1:16" ht="13.5" thickBot="1">
      <c r="I5" s="46" t="s">
        <v>56</v>
      </c>
      <c r="J5" s="47" t="s">
        <v>57</v>
      </c>
    </row>
    <row r="10" spans="1:16" ht="13.5" thickBot="1"/>
    <row r="11" spans="1:16" ht="12.75" customHeight="1" thickBot="1">
      <c r="A11" s="40" t="str">
        <f t="shared" ref="A11:A18" si="0">P11</f>
        <v>IBVS 5583 </v>
      </c>
      <c r="B11" s="5" t="str">
        <f t="shared" ref="B11:B18" si="1">IF(H11=INT(H11),"I","II")</f>
        <v>I</v>
      </c>
      <c r="C11" s="40">
        <f t="shared" ref="C11:C18" si="2">1*G11</f>
        <v>52672.3603</v>
      </c>
      <c r="D11" s="17" t="str">
        <f t="shared" ref="D11:D18" si="3">VLOOKUP(F11,I$1:J$5,2,FALSE)</f>
        <v>vis</v>
      </c>
      <c r="E11" s="48">
        <f>VLOOKUP(C11,Active!C$21:E$973,3,FALSE)</f>
        <v>26742.202911787714</v>
      </c>
      <c r="F11" s="5" t="s">
        <v>56</v>
      </c>
      <c r="G11" s="17" t="str">
        <f t="shared" ref="G11:G18" si="4">MID(I11,3,LEN(I11)-3)</f>
        <v>52672.3603</v>
      </c>
      <c r="H11" s="40">
        <f t="shared" ref="H11:H18" si="5">1*K11</f>
        <v>26742</v>
      </c>
      <c r="I11" s="49" t="s">
        <v>70</v>
      </c>
      <c r="J11" s="50" t="s">
        <v>71</v>
      </c>
      <c r="K11" s="49">
        <v>26742</v>
      </c>
      <c r="L11" s="49" t="s">
        <v>72</v>
      </c>
      <c r="M11" s="50" t="s">
        <v>61</v>
      </c>
      <c r="N11" s="50" t="s">
        <v>73</v>
      </c>
      <c r="O11" s="51" t="s">
        <v>74</v>
      </c>
      <c r="P11" s="52" t="s">
        <v>75</v>
      </c>
    </row>
    <row r="12" spans="1:16" ht="12.75" customHeight="1" thickBot="1">
      <c r="A12" s="40" t="str">
        <f t="shared" si="0"/>
        <v>IBVS 5992 </v>
      </c>
      <c r="B12" s="5" t="str">
        <f t="shared" si="1"/>
        <v>II</v>
      </c>
      <c r="C12" s="40">
        <f t="shared" si="2"/>
        <v>55605.638099999996</v>
      </c>
      <c r="D12" s="17" t="str">
        <f t="shared" si="3"/>
        <v>vis</v>
      </c>
      <c r="E12" s="48">
        <f>VLOOKUP(C12,Active!C$21:E$973,3,FALSE)</f>
        <v>31045.587466538596</v>
      </c>
      <c r="F12" s="5" t="s">
        <v>56</v>
      </c>
      <c r="G12" s="17" t="str">
        <f t="shared" si="4"/>
        <v>55605.6381</v>
      </c>
      <c r="H12" s="40">
        <f t="shared" si="5"/>
        <v>31045.5</v>
      </c>
      <c r="I12" s="49" t="s">
        <v>82</v>
      </c>
      <c r="J12" s="50" t="s">
        <v>83</v>
      </c>
      <c r="K12" s="49">
        <v>31045.5</v>
      </c>
      <c r="L12" s="49" t="s">
        <v>84</v>
      </c>
      <c r="M12" s="50" t="s">
        <v>79</v>
      </c>
      <c r="N12" s="50" t="s">
        <v>56</v>
      </c>
      <c r="O12" s="51" t="s">
        <v>63</v>
      </c>
      <c r="P12" s="52" t="s">
        <v>85</v>
      </c>
    </row>
    <row r="13" spans="1:16" ht="12.75" customHeight="1" thickBot="1">
      <c r="A13" s="40" t="str">
        <f t="shared" si="0"/>
        <v>IBVS 6063 </v>
      </c>
      <c r="B13" s="5" t="str">
        <f t="shared" si="1"/>
        <v>I</v>
      </c>
      <c r="C13" s="40">
        <f t="shared" si="2"/>
        <v>56338.703399999999</v>
      </c>
      <c r="D13" s="17" t="str">
        <f t="shared" si="3"/>
        <v>vis</v>
      </c>
      <c r="E13" s="48">
        <f>VLOOKUP(C13,Active!C$21:E$973,3,FALSE)</f>
        <v>32121.060744127179</v>
      </c>
      <c r="F13" s="5" t="s">
        <v>56</v>
      </c>
      <c r="G13" s="17" t="str">
        <f t="shared" si="4"/>
        <v>56338.7034</v>
      </c>
      <c r="H13" s="40">
        <f t="shared" si="5"/>
        <v>32121</v>
      </c>
      <c r="I13" s="49" t="s">
        <v>86</v>
      </c>
      <c r="J13" s="50" t="s">
        <v>87</v>
      </c>
      <c r="K13" s="49">
        <v>32121</v>
      </c>
      <c r="L13" s="49" t="s">
        <v>88</v>
      </c>
      <c r="M13" s="50" t="s">
        <v>79</v>
      </c>
      <c r="N13" s="50" t="s">
        <v>56</v>
      </c>
      <c r="O13" s="51" t="s">
        <v>63</v>
      </c>
      <c r="P13" s="52" t="s">
        <v>89</v>
      </c>
    </row>
    <row r="14" spans="1:16" ht="12.75" customHeight="1" thickBot="1">
      <c r="A14" s="40" t="str">
        <f t="shared" si="0"/>
        <v>IBVS 6063 </v>
      </c>
      <c r="B14" s="5" t="str">
        <f t="shared" si="1"/>
        <v>I</v>
      </c>
      <c r="C14" s="40">
        <f t="shared" si="2"/>
        <v>56338.7039</v>
      </c>
      <c r="D14" s="17" t="str">
        <f t="shared" si="3"/>
        <v>vis</v>
      </c>
      <c r="E14" s="48">
        <f>VLOOKUP(C14,Active!C$21:E$973,3,FALSE)</f>
        <v>32121.061477672527</v>
      </c>
      <c r="F14" s="5" t="s">
        <v>56</v>
      </c>
      <c r="G14" s="17" t="str">
        <f t="shared" si="4"/>
        <v>56338.7039</v>
      </c>
      <c r="H14" s="40">
        <f t="shared" si="5"/>
        <v>32121</v>
      </c>
      <c r="I14" s="49" t="s">
        <v>90</v>
      </c>
      <c r="J14" s="50" t="s">
        <v>91</v>
      </c>
      <c r="K14" s="49">
        <v>32121</v>
      </c>
      <c r="L14" s="49" t="s">
        <v>92</v>
      </c>
      <c r="M14" s="50" t="s">
        <v>79</v>
      </c>
      <c r="N14" s="50" t="s">
        <v>73</v>
      </c>
      <c r="O14" s="51" t="s">
        <v>63</v>
      </c>
      <c r="P14" s="52" t="s">
        <v>89</v>
      </c>
    </row>
    <row r="15" spans="1:16" ht="12.75" customHeight="1" thickBot="1">
      <c r="A15" s="40" t="str">
        <f t="shared" si="0"/>
        <v>IBVS 6063 </v>
      </c>
      <c r="B15" s="5" t="str">
        <f t="shared" si="1"/>
        <v>I</v>
      </c>
      <c r="C15" s="40">
        <f t="shared" si="2"/>
        <v>56338.7039</v>
      </c>
      <c r="D15" s="17" t="str">
        <f t="shared" si="3"/>
        <v>vis</v>
      </c>
      <c r="E15" s="48">
        <f>VLOOKUP(C15,Active!C$21:E$973,3,FALSE)</f>
        <v>32121.061477672527</v>
      </c>
      <c r="F15" s="5" t="s">
        <v>56</v>
      </c>
      <c r="G15" s="17" t="str">
        <f t="shared" si="4"/>
        <v>56338.7039</v>
      </c>
      <c r="H15" s="40">
        <f t="shared" si="5"/>
        <v>32121</v>
      </c>
      <c r="I15" s="49" t="s">
        <v>90</v>
      </c>
      <c r="J15" s="50" t="s">
        <v>91</v>
      </c>
      <c r="K15" s="49">
        <v>32121</v>
      </c>
      <c r="L15" s="49" t="s">
        <v>92</v>
      </c>
      <c r="M15" s="50" t="s">
        <v>79</v>
      </c>
      <c r="N15" s="50" t="s">
        <v>93</v>
      </c>
      <c r="O15" s="51" t="s">
        <v>63</v>
      </c>
      <c r="P15" s="52" t="s">
        <v>89</v>
      </c>
    </row>
    <row r="16" spans="1:16" ht="12.75" customHeight="1" thickBot="1">
      <c r="A16" s="40" t="str">
        <f t="shared" si="0"/>
        <v> BBS 124 </v>
      </c>
      <c r="B16" s="5" t="str">
        <f t="shared" si="1"/>
        <v>I</v>
      </c>
      <c r="C16" s="40">
        <f t="shared" si="2"/>
        <v>51952.509100000003</v>
      </c>
      <c r="D16" s="17" t="str">
        <f t="shared" si="3"/>
        <v>vis</v>
      </c>
      <c r="E16" s="48">
        <f>VLOOKUP(C16,Active!C$21:E$973,3,FALSE)</f>
        <v>25686.115917300223</v>
      </c>
      <c r="F16" s="5" t="s">
        <v>56</v>
      </c>
      <c r="G16" s="17" t="str">
        <f t="shared" si="4"/>
        <v>51952.5091</v>
      </c>
      <c r="H16" s="40">
        <f t="shared" si="5"/>
        <v>25686</v>
      </c>
      <c r="I16" s="49" t="s">
        <v>58</v>
      </c>
      <c r="J16" s="50" t="s">
        <v>59</v>
      </c>
      <c r="K16" s="49">
        <v>25686</v>
      </c>
      <c r="L16" s="49" t="s">
        <v>60</v>
      </c>
      <c r="M16" s="50" t="s">
        <v>61</v>
      </c>
      <c r="N16" s="50" t="s">
        <v>62</v>
      </c>
      <c r="O16" s="51" t="s">
        <v>63</v>
      </c>
      <c r="P16" s="51" t="s">
        <v>64</v>
      </c>
    </row>
    <row r="17" spans="1:16" ht="12.75" customHeight="1" thickBot="1">
      <c r="A17" s="40" t="str">
        <f t="shared" si="0"/>
        <v> BBS 127 </v>
      </c>
      <c r="B17" s="5" t="str">
        <f t="shared" si="1"/>
        <v>I</v>
      </c>
      <c r="C17" s="40">
        <f t="shared" si="2"/>
        <v>52310.397400000002</v>
      </c>
      <c r="D17" s="17" t="str">
        <f t="shared" si="3"/>
        <v>vis</v>
      </c>
      <c r="E17" s="48">
        <f>VLOOKUP(C17,Active!C$21:E$973,3,FALSE)</f>
        <v>26211.170510679018</v>
      </c>
      <c r="F17" s="5" t="s">
        <v>56</v>
      </c>
      <c r="G17" s="17" t="str">
        <f t="shared" si="4"/>
        <v>52310.3974</v>
      </c>
      <c r="H17" s="40">
        <f t="shared" si="5"/>
        <v>26211</v>
      </c>
      <c r="I17" s="49" t="s">
        <v>65</v>
      </c>
      <c r="J17" s="50" t="s">
        <v>66</v>
      </c>
      <c r="K17" s="49">
        <v>26211</v>
      </c>
      <c r="L17" s="49" t="s">
        <v>67</v>
      </c>
      <c r="M17" s="50" t="s">
        <v>61</v>
      </c>
      <c r="N17" s="50" t="s">
        <v>62</v>
      </c>
      <c r="O17" s="51" t="s">
        <v>68</v>
      </c>
      <c r="P17" s="51" t="s">
        <v>69</v>
      </c>
    </row>
    <row r="18" spans="1:16" ht="12.75" customHeight="1" thickBot="1">
      <c r="A18" s="40" t="str">
        <f t="shared" si="0"/>
        <v>OEJV 0094 </v>
      </c>
      <c r="B18" s="5" t="str">
        <f t="shared" si="1"/>
        <v>II</v>
      </c>
      <c r="C18" s="40">
        <f t="shared" si="2"/>
        <v>54505.537700000001</v>
      </c>
      <c r="D18" s="17" t="str">
        <f t="shared" si="3"/>
        <v>vis</v>
      </c>
      <c r="E18" s="48">
        <f>VLOOKUP(C18,Active!C$21:E$973,3,FALSE)</f>
        <v>29431.640410437991</v>
      </c>
      <c r="F18" s="5" t="s">
        <v>56</v>
      </c>
      <c r="G18" s="17" t="str">
        <f t="shared" si="4"/>
        <v>54505.5377</v>
      </c>
      <c r="H18" s="40">
        <f t="shared" si="5"/>
        <v>29431.5</v>
      </c>
      <c r="I18" s="49" t="s">
        <v>76</v>
      </c>
      <c r="J18" s="50" t="s">
        <v>77</v>
      </c>
      <c r="K18" s="49">
        <v>29431.5</v>
      </c>
      <c r="L18" s="49" t="s">
        <v>78</v>
      </c>
      <c r="M18" s="50" t="s">
        <v>79</v>
      </c>
      <c r="N18" s="50" t="s">
        <v>48</v>
      </c>
      <c r="O18" s="51" t="s">
        <v>80</v>
      </c>
      <c r="P18" s="52" t="s">
        <v>81</v>
      </c>
    </row>
    <row r="19" spans="1:16">
      <c r="B19" s="5"/>
      <c r="F19" s="5"/>
    </row>
    <row r="20" spans="1:16">
      <c r="B20" s="5"/>
      <c r="F20" s="5"/>
    </row>
    <row r="21" spans="1:16">
      <c r="B21" s="5"/>
      <c r="F21" s="5"/>
    </row>
    <row r="22" spans="1:16">
      <c r="B22" s="5"/>
      <c r="F22" s="5"/>
    </row>
    <row r="23" spans="1:16">
      <c r="B23" s="5"/>
      <c r="F23" s="5"/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</sheetData>
  <phoneticPr fontId="7" type="noConversion"/>
  <hyperlinks>
    <hyperlink ref="P11" r:id="rId1" display="http://www.konkoly.hu/cgi-bin/IBVS?5583"/>
    <hyperlink ref="P18" r:id="rId2" display="http://var.astro.cz/oejv/issues/oejv0094.pdf"/>
    <hyperlink ref="P12" r:id="rId3" display="http://www.konkoly.hu/cgi-bin/IBVS?5992"/>
    <hyperlink ref="P13" r:id="rId4" display="http://www.konkoly.hu/cgi-bin/IBVS?6063"/>
    <hyperlink ref="P14" r:id="rId5" display="http://www.konkoly.hu/cgi-bin/IBVS?6063"/>
    <hyperlink ref="P15" r:id="rId6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2024-02-20T06:21:38Z</dcterms:modified>
</cp:coreProperties>
</file>