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5A3020-85C7-4E06-AA97-B77110FF2A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4" i="1" l="1"/>
  <c r="Q23" i="1"/>
  <c r="G13" i="2"/>
  <c r="C13" i="2"/>
  <c r="E13" i="2"/>
  <c r="G12" i="2"/>
  <c r="C12" i="2"/>
  <c r="G11" i="2"/>
  <c r="C11" i="2"/>
  <c r="G15" i="2"/>
  <c r="C15" i="2"/>
  <c r="G14" i="2"/>
  <c r="C14" i="2"/>
  <c r="H13" i="2"/>
  <c r="D13" i="2"/>
  <c r="B13" i="2"/>
  <c r="A13" i="2"/>
  <c r="H12" i="2"/>
  <c r="B12" i="2"/>
  <c r="D12" i="2"/>
  <c r="A12" i="2"/>
  <c r="H11" i="2"/>
  <c r="D11" i="2"/>
  <c r="B11" i="2"/>
  <c r="A11" i="2"/>
  <c r="H15" i="2"/>
  <c r="B15" i="2"/>
  <c r="D15" i="2"/>
  <c r="A15" i="2"/>
  <c r="H14" i="2"/>
  <c r="D14" i="2"/>
  <c r="B14" i="2"/>
  <c r="A14" i="2"/>
  <c r="F11" i="1"/>
  <c r="Q26" i="1"/>
  <c r="Q27" i="1"/>
  <c r="G11" i="1"/>
  <c r="E14" i="1"/>
  <c r="Q25" i="1"/>
  <c r="C7" i="1"/>
  <c r="E27" i="1"/>
  <c r="F27" i="1"/>
  <c r="C8" i="1"/>
  <c r="C21" i="1"/>
  <c r="C17" i="1"/>
  <c r="Q22" i="1"/>
  <c r="E14" i="2"/>
  <c r="Q21" i="1"/>
  <c r="E22" i="1"/>
  <c r="F22" i="1"/>
  <c r="G22" i="1"/>
  <c r="I22" i="1"/>
  <c r="E26" i="1"/>
  <c r="F26" i="1"/>
  <c r="G26" i="1"/>
  <c r="I26" i="1"/>
  <c r="E21" i="1"/>
  <c r="F21" i="1"/>
  <c r="E24" i="1"/>
  <c r="F24" i="1"/>
  <c r="G24" i="1"/>
  <c r="J24" i="1"/>
  <c r="G27" i="1"/>
  <c r="I27" i="1"/>
  <c r="E25" i="1"/>
  <c r="F25" i="1"/>
  <c r="G25" i="1"/>
  <c r="I25" i="1"/>
  <c r="E23" i="1"/>
  <c r="F23" i="1"/>
  <c r="G23" i="1"/>
  <c r="J23" i="1"/>
  <c r="E12" i="2"/>
  <c r="E11" i="2"/>
  <c r="E15" i="2"/>
  <c r="C11" i="1"/>
  <c r="E15" i="1" l="1"/>
  <c r="C12" i="1"/>
  <c r="C16" i="1" l="1"/>
  <c r="D18" i="1" s="1"/>
  <c r="O24" i="1"/>
  <c r="O22" i="1"/>
  <c r="O26" i="1"/>
  <c r="O25" i="1"/>
  <c r="C15" i="1"/>
  <c r="O27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<sst xmlns="http://schemas.openxmlformats.org/spreadsheetml/2006/main" count="108" uniqueCount="91">
  <si>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</si>
  <si>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</si>
  <si>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</si>
  <si>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</si>
  <si>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</si>
  <si>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</si>
  <si>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</si>
  <si>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</si>
  <si>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</si>
  <si>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</si>
  <si>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</si>
  <si>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</si>
  <si>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</si>
  <si>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</si>
  <si>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</si>
  <si>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</si>
  <si>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</si>
  <si>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</si>
  <si>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</si>
  <si>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</si>
  <si>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</si>
  <si>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</si>
  <si>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</si>
  <si>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</si>
  <si>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</si>
  <si>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</si>
  <si>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</si>
  <si>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</si>
  <si>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</si>
  <si>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EA/SD</t>
  </si>
  <si>
    <t>IBVS 3877</t>
  </si>
  <si>
    <t># of data points:</t>
  </si>
  <si>
    <t>IBVS 5731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</si>
  <si>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</si>
  <si>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</si>
  <si>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</si>
  <si>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</si>
  <si>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</si>
  <si>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</si>
  <si>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</si>
  <si>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</si>
  <si>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</si>
  <si>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6011</t>
  </si>
  <si>
    <t>I</t>
  </si>
  <si>
    <t>JAVSO..39..177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</si>
  <si>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</si>
  <si>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</si>
  <si>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</si>
  <si>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</si>
  <si>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</si>
  <si>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</si>
  <si>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</si>
  <si>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</si>
  <si>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</si>
  <si>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</si>
  <si>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</si>
  <si>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</si>
  <si>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2450462.3088 </t>
  </si>
  <si>
    <t> 13.01.1997 19:24 </t>
  </si>
  <si>
    <t> -0.0519 </t>
  </si>
  <si>
    <t>V </t>
  </si>
  <si>
    <t> A.Dedoch </t>
  </si>
  <si>
    <t> BRNO 32 </t>
  </si>
  <si>
    <t>2451955.3331 </t>
  </si>
  <si>
    <t> 14.02.2001 19:59 </t>
  </si>
  <si>
    <t> -0.0887 </t>
  </si>
  <si>
    <t>E </t>
  </si>
  <si>
    <t>?</t>
  </si>
  <si>
    <t> R.Diethelm </t>
  </si>
  <si>
    <t> BBS 124 </t>
  </si>
  <si>
    <t>2453780.3307 </t>
  </si>
  <si>
    <t> 13.02.2006 19:56 </t>
  </si>
  <si>
    <t> -0.1183 </t>
  </si>
  <si>
    <t>C </t>
  </si>
  <si>
    <t>-I</t>
  </si>
  <si>
    <t> Agerer </t>
  </si>
  <si>
    <t>BAVM 178 </t>
  </si>
  <si>
    <t>2455597.4760 </t>
  </si>
  <si>
    <t> 04.02.2011 23:25 </t>
  </si>
  <si>
    <t>14349</t>
  </si>
  <si>
    <t> -0.1337 </t>
  </si>
  <si>
    <t>R</t>
  </si>
  <si>
    <t> L.Corp </t>
  </si>
  <si>
    <t> JAAVSO 39;177 </t>
  </si>
  <si>
    <t>2455905.8403 </t>
  </si>
  <si>
    <t> 10.12.2011 08:10 </t>
  </si>
  <si>
    <t>14545</t>
  </si>
  <si>
    <t> -0.1360 </t>
  </si>
  <si>
    <t>IBVS 6011 </t>
  </si>
  <si>
    <t>V0456 Mon / GSC 00149-02430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</si>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</sst>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1"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V0456 Mon - O-C Diagr.</a:t>
            </a:r>
          </a:p>
        </c:rich>
      </c:tx>
      <c:layout>
        <c:manualLayout>
          <c:xMode val="edge"/>
          <c:yMode val="edge"/>
          <c:x val="0.3661823532155411"/>
          <c:y val="2.9652351738241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5E-4568-B2D0-213356FF1A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-5.1588700000138488E-2</c:v>
                </c:pt>
                <c:pt idx="4">
                  <c:v>-0.11826420000579674</c:v>
                </c:pt>
                <c:pt idx="5">
                  <c:v>-0.13365569999587024</c:v>
                </c:pt>
                <c:pt idx="6">
                  <c:v>-0.13601850000122795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5E-4568-B2D0-213356FF1A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-5.1940500008640811E-2</c:v>
                </c:pt>
                <c:pt idx="3">
                  <c:v>-8.867620000091847E-2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5E-4568-B2D0-213356FF1A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5E-4568-B2D0-213356FF1A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5E-4568-B2D0-213356FF1A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5E-4568-B2D0-213356FF1A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4">
                    <c:v>5.9999999999999995E-4</c:v>
                  </c:pt>
                  <c:pt idx="5">
                    <c:v>1E-4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5E-4568-B2D0-213356FF1A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10159</c:v>
                </c:pt>
                <c:pt idx="2">
                  <c:v>11085</c:v>
                </c:pt>
                <c:pt idx="3">
                  <c:v>12034</c:v>
                </c:pt>
                <c:pt idx="4">
                  <c:v>13194</c:v>
                </c:pt>
                <c:pt idx="5">
                  <c:v>14349</c:v>
                </c:pt>
                <c:pt idx="6">
                  <c:v>14545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0.17141821536547652</c:v>
                </c:pt>
                <c:pt idx="1">
                  <c:v>-4.5421032620554108E-2</c:v>
                </c:pt>
                <c:pt idx="2">
                  <c:v>-6.5186082687988339E-2</c:v>
                </c:pt>
                <c:pt idx="3">
                  <c:v>-8.5442057325132048E-2</c:v>
                </c:pt>
                <c:pt idx="4">
                  <c:v>-0.11020173127569766</c:v>
                </c:pt>
                <c:pt idx="5">
                  <c:v>-0.13485468249371763</c:v>
                </c:pt>
                <c:pt idx="6">
                  <c:v>-0.13903821360950286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5E-4568-B2D0-213356FF1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590240"/>
        <c:axId val="1"/>
      </c:scatterChart>
      <c:valAx>
        <c:axId val="982590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590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24539877300615"/>
          <c:w val="0.760905363404695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15</xdr:col>
      <xdr:colOff>266700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A2EE79-405D-3542-E68C-DB61471C4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2" t="s">
        <v>89</v>
      </c>
    </row>
    <row r="2" spans="1:7" s="23" customFormat="1" ht="12.95" customHeight="1" x14ac:dyDescent="0.2">
      <c r="A2" s="23" t="s">
        <v>24</v>
      </c>
      <c r="B2" s="23" t="s">
        <v>29</v>
      </c>
    </row>
    <row r="3" spans="1:7" s="23" customFormat="1" ht="12.95" customHeight="1" thickBot="1" x14ac:dyDescent="0.25"/>
    <row r="4" spans="1:7" s="23" customFormat="1" ht="12.95" customHeight="1" thickTop="1" thickBot="1" x14ac:dyDescent="0.25">
      <c r="A4" s="24" t="s">
        <v>0</v>
      </c>
      <c r="C4" s="25">
        <v>33022.338000000003</v>
      </c>
      <c r="D4" s="26">
        <v>1.5732993</v>
      </c>
    </row>
    <row r="5" spans="1:7" s="23" customFormat="1" ht="12.95" customHeight="1" thickTop="1" x14ac:dyDescent="0.2"/>
    <row r="6" spans="1:7" s="23" customFormat="1" ht="12.95" customHeight="1" x14ac:dyDescent="0.2">
      <c r="A6" s="24" t="s">
        <v>1</v>
      </c>
    </row>
    <row r="7" spans="1:7" s="23" customFormat="1" ht="12.95" customHeight="1" x14ac:dyDescent="0.2">
      <c r="A7" s="23" t="s">
        <v>2</v>
      </c>
      <c r="C7" s="23">
        <f>+C4</f>
        <v>33022.338000000003</v>
      </c>
    </row>
    <row r="8" spans="1:7" s="23" customFormat="1" ht="12.95" customHeight="1" x14ac:dyDescent="0.2">
      <c r="A8" s="23" t="s">
        <v>3</v>
      </c>
      <c r="C8" s="23">
        <f>+D4</f>
        <v>1.5732993</v>
      </c>
    </row>
    <row r="9" spans="1:7" s="23" customFormat="1" ht="12.95" customHeight="1" x14ac:dyDescent="0.2">
      <c r="A9" s="27" t="s">
        <v>33</v>
      </c>
      <c r="C9" s="28">
        <v>-9.5</v>
      </c>
      <c r="D9" s="23" t="s">
        <v>34</v>
      </c>
    </row>
    <row r="10" spans="1:7" s="23" customFormat="1" ht="12.95" customHeight="1" thickBot="1" x14ac:dyDescent="0.25">
      <c r="C10" s="29" t="s">
        <v>20</v>
      </c>
      <c r="D10" s="29" t="s">
        <v>21</v>
      </c>
    </row>
    <row r="11" spans="1:7" s="23" customFormat="1" ht="12.95" customHeight="1" x14ac:dyDescent="0.2">
      <c r="A11" s="23" t="s">
        <v>16</v>
      </c>
      <c r="C11" s="30">
        <f ca="1">INTERCEPT(INDIRECT($G$11):G992,INDIRECT($F$11):F992)</f>
        <v>0.17141821536547652</v>
      </c>
      <c r="D11" s="31"/>
      <c r="F11" s="32" t="str">
        <f>"F"&amp;E19</f>
        <v>F21</v>
      </c>
      <c r="G11" s="30" t="str">
        <f>"G"&amp;E19</f>
        <v>G21</v>
      </c>
    </row>
    <row r="12" spans="1:7" s="23" customFormat="1" ht="12.95" customHeight="1" x14ac:dyDescent="0.2">
      <c r="A12" s="23" t="s">
        <v>17</v>
      </c>
      <c r="C12" s="30">
        <f ca="1">SLOPE(INDIRECT($G$11):G992,INDIRECT($F$11):F992)</f>
        <v>-2.1344546509108243E-5</v>
      </c>
      <c r="D12" s="31"/>
    </row>
    <row r="13" spans="1:7" s="23" customFormat="1" ht="12.95" customHeight="1" x14ac:dyDescent="0.2">
      <c r="A13" s="23" t="s">
        <v>19</v>
      </c>
      <c r="C13" s="31" t="s">
        <v>14</v>
      </c>
      <c r="D13" s="33" t="s">
        <v>35</v>
      </c>
      <c r="E13" s="28">
        <v>1</v>
      </c>
    </row>
    <row r="14" spans="1:7" s="23" customFormat="1" ht="12.95" customHeight="1" x14ac:dyDescent="0.2">
      <c r="D14" s="33" t="s">
        <v>36</v>
      </c>
      <c r="E14" s="34">
        <f ca="1">NOW()+15018.5+$C$9/24</f>
        <v>60360.807566782401</v>
      </c>
    </row>
    <row r="15" spans="1:7" s="23" customFormat="1" ht="12.95" customHeight="1" x14ac:dyDescent="0.2">
      <c r="A15" s="35" t="s">
        <v>18</v>
      </c>
      <c r="C15" s="36">
        <f ca="1">(C7+C11)+(C8+C12)*INT(MAX(F21:F3533))</f>
        <v>55905.837280286389</v>
      </c>
      <c r="D15" s="33" t="s">
        <v>37</v>
      </c>
      <c r="E15" s="34">
        <f ca="1">ROUND(2*(E14-$C$7)/$C$8,0)/2+E13</f>
        <v>17377.5</v>
      </c>
    </row>
    <row r="16" spans="1:7" s="23" customFormat="1" ht="12.95" customHeight="1" x14ac:dyDescent="0.2">
      <c r="A16" s="24" t="s">
        <v>4</v>
      </c>
      <c r="C16" s="37">
        <f ca="1">+C8+C12</f>
        <v>1.5732779554534908</v>
      </c>
      <c r="D16" s="33" t="s">
        <v>38</v>
      </c>
      <c r="E16" s="30">
        <f ca="1">ROUND(2*(E14-$C$15)/$C$16,0)/2+E13</f>
        <v>2832.5</v>
      </c>
    </row>
    <row r="17" spans="1:17" s="23" customFormat="1" ht="12.95" customHeight="1" thickBot="1" x14ac:dyDescent="0.25">
      <c r="A17" s="33" t="s">
        <v>31</v>
      </c>
      <c r="C17" s="23">
        <f>COUNT(C21:C2191)</f>
        <v>7</v>
      </c>
      <c r="D17" s="33" t="s">
        <v>39</v>
      </c>
      <c r="E17" s="38">
        <f ca="1">+$C$15+$C$16*E16-15018.5-$C$9/24</f>
        <v>45344.042922441738</v>
      </c>
    </row>
    <row r="18" spans="1:17" s="23" customFormat="1" ht="12.95" customHeight="1" x14ac:dyDescent="0.2">
      <c r="A18" s="24" t="s">
        <v>5</v>
      </c>
      <c r="C18" s="25">
        <f ca="1">+C15</f>
        <v>55905.837280286389</v>
      </c>
      <c r="D18" s="26">
        <f ca="1">+C16</f>
        <v>1.5732779554534908</v>
      </c>
      <c r="E18" s="39" t="s">
        <v>40</v>
      </c>
    </row>
    <row r="19" spans="1:17" s="23" customFormat="1" ht="12.95" customHeight="1" thickTop="1" x14ac:dyDescent="0.2">
      <c r="A19" s="40" t="s">
        <v>41</v>
      </c>
      <c r="E19" s="41">
        <v>21</v>
      </c>
    </row>
    <row r="20" spans="1:17" s="23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42" t="s">
        <v>12</v>
      </c>
      <c r="I20" s="42" t="s">
        <v>48</v>
      </c>
      <c r="J20" s="42" t="s">
        <v>90</v>
      </c>
      <c r="K20" s="42" t="s">
        <v>25</v>
      </c>
      <c r="L20" s="42" t="s">
        <v>26</v>
      </c>
      <c r="M20" s="42" t="s">
        <v>27</v>
      </c>
      <c r="N20" s="42" t="s">
        <v>28</v>
      </c>
      <c r="O20" s="42" t="s">
        <v>23</v>
      </c>
      <c r="P20" s="43" t="s">
        <v>22</v>
      </c>
      <c r="Q20" s="29" t="s">
        <v>15</v>
      </c>
    </row>
    <row r="21" spans="1:17" s="23" customFormat="1" ht="12.95" customHeight="1" x14ac:dyDescent="0.2">
      <c r="A21" s="23" t="s">
        <v>12</v>
      </c>
      <c r="C21" s="44">
        <f>+C4</f>
        <v>33022.338000000003</v>
      </c>
      <c r="D21" s="44" t="s">
        <v>14</v>
      </c>
      <c r="E21" s="23">
        <f t="shared" ref="E21:E27" si="0">+(C21-C$7)/C$8</f>
        <v>0</v>
      </c>
      <c r="F21" s="23">
        <f t="shared" ref="F21:F27" si="1">ROUND(2*E21,0)/2</f>
        <v>0</v>
      </c>
      <c r="H21" s="30">
        <v>0</v>
      </c>
      <c r="O21" s="23">
        <f t="shared" ref="O21:O27" ca="1" si="2">+C$11+C$12*$F21</f>
        <v>0.17141821536547652</v>
      </c>
      <c r="Q21" s="45">
        <f t="shared" ref="Q21:Q27" si="3">+C21-15018.5</f>
        <v>18003.838000000003</v>
      </c>
    </row>
    <row r="22" spans="1:17" s="23" customFormat="1" ht="12.95" customHeight="1" x14ac:dyDescent="0.2">
      <c r="A22" s="2" t="s">
        <v>30</v>
      </c>
      <c r="B22" s="3"/>
      <c r="C22" s="6">
        <v>49005.434000000001</v>
      </c>
      <c r="D22" s="6">
        <v>2E-3</v>
      </c>
      <c r="E22" s="23">
        <f t="shared" si="0"/>
        <v>10158.967209862738</v>
      </c>
      <c r="F22" s="23">
        <f t="shared" si="1"/>
        <v>10159</v>
      </c>
      <c r="G22" s="23">
        <f t="shared" ref="G22:G27" si="4">+C22-(C$7+F22*C$8)</f>
        <v>-5.1588700000138488E-2</v>
      </c>
      <c r="I22" s="23">
        <f>+G22</f>
        <v>-5.1588700000138488E-2</v>
      </c>
      <c r="O22" s="23">
        <f t="shared" ca="1" si="2"/>
        <v>-4.5421032620554108E-2</v>
      </c>
      <c r="Q22" s="45">
        <f t="shared" si="3"/>
        <v>33986.934000000001</v>
      </c>
    </row>
    <row r="23" spans="1:17" s="23" customFormat="1" ht="12.95" customHeight="1" x14ac:dyDescent="0.2">
      <c r="A23" s="46" t="s">
        <v>62</v>
      </c>
      <c r="B23" s="47" t="s">
        <v>43</v>
      </c>
      <c r="C23" s="46">
        <v>50462.308799999999</v>
      </c>
      <c r="D23" s="31"/>
      <c r="E23" s="23">
        <f t="shared" si="0"/>
        <v>11084.966986256204</v>
      </c>
      <c r="F23" s="23">
        <f t="shared" si="1"/>
        <v>11085</v>
      </c>
      <c r="G23" s="23">
        <f t="shared" si="4"/>
        <v>-5.1940500008640811E-2</v>
      </c>
      <c r="J23" s="23">
        <f>+G23</f>
        <v>-5.1940500008640811E-2</v>
      </c>
      <c r="O23" s="23">
        <f t="shared" ca="1" si="2"/>
        <v>-6.5186082687988339E-2</v>
      </c>
      <c r="Q23" s="45">
        <f t="shared" si="3"/>
        <v>35443.808799999999</v>
      </c>
    </row>
    <row r="24" spans="1:17" s="23" customFormat="1" ht="12.95" customHeight="1" x14ac:dyDescent="0.2">
      <c r="A24" s="46" t="s">
        <v>69</v>
      </c>
      <c r="B24" s="47" t="s">
        <v>43</v>
      </c>
      <c r="C24" s="46">
        <v>51955.333100000003</v>
      </c>
      <c r="D24" s="31"/>
      <c r="E24" s="23">
        <f t="shared" si="0"/>
        <v>12033.943636789263</v>
      </c>
      <c r="F24" s="23">
        <f t="shared" si="1"/>
        <v>12034</v>
      </c>
      <c r="G24" s="23">
        <f t="shared" si="4"/>
        <v>-8.867620000091847E-2</v>
      </c>
      <c r="J24" s="23">
        <f>+G24</f>
        <v>-8.867620000091847E-2</v>
      </c>
      <c r="O24" s="23">
        <f t="shared" ca="1" si="2"/>
        <v>-8.5442057325132048E-2</v>
      </c>
      <c r="Q24" s="45">
        <f t="shared" si="3"/>
        <v>36936.833100000003</v>
      </c>
    </row>
    <row r="25" spans="1:17" s="23" customFormat="1" ht="12.95" customHeight="1" x14ac:dyDescent="0.2">
      <c r="A25" s="23" t="s">
        <v>32</v>
      </c>
      <c r="B25" s="48"/>
      <c r="C25" s="44">
        <v>53780.330699999999</v>
      </c>
      <c r="D25" s="44">
        <v>5.9999999999999995E-4</v>
      </c>
      <c r="E25" s="23">
        <f t="shared" si="0"/>
        <v>13193.924830450249</v>
      </c>
      <c r="F25" s="23">
        <f t="shared" si="1"/>
        <v>13194</v>
      </c>
      <c r="G25" s="23">
        <f t="shared" si="4"/>
        <v>-0.11826420000579674</v>
      </c>
      <c r="I25" s="23">
        <f>+G25</f>
        <v>-0.11826420000579674</v>
      </c>
      <c r="O25" s="23">
        <f t="shared" ca="1" si="2"/>
        <v>-0.11020173127569766</v>
      </c>
      <c r="Q25" s="45">
        <f t="shared" si="3"/>
        <v>38761.830699999999</v>
      </c>
    </row>
    <row r="26" spans="1:17" s="23" customFormat="1" ht="12.95" customHeight="1" x14ac:dyDescent="0.2">
      <c r="A26" s="49" t="s">
        <v>44</v>
      </c>
      <c r="B26" s="50" t="s">
        <v>45</v>
      </c>
      <c r="C26" s="49">
        <v>55597.476000000002</v>
      </c>
      <c r="D26" s="49">
        <v>1E-4</v>
      </c>
      <c r="E26" s="23">
        <f t="shared" si="0"/>
        <v>14348.915047505583</v>
      </c>
      <c r="F26" s="23">
        <f t="shared" si="1"/>
        <v>14349</v>
      </c>
      <c r="G26" s="23">
        <f t="shared" si="4"/>
        <v>-0.13365569999587024</v>
      </c>
      <c r="I26" s="23">
        <f>+G26</f>
        <v>-0.13365569999587024</v>
      </c>
      <c r="O26" s="23">
        <f t="shared" ca="1" si="2"/>
        <v>-0.13485468249371763</v>
      </c>
      <c r="Q26" s="45">
        <f t="shared" si="3"/>
        <v>40578.976000000002</v>
      </c>
    </row>
    <row r="27" spans="1:17" s="23" customFormat="1" ht="12.95" customHeight="1" x14ac:dyDescent="0.2">
      <c r="A27" s="7" t="s">
        <v>42</v>
      </c>
      <c r="B27" s="8" t="s">
        <v>43</v>
      </c>
      <c r="C27" s="7">
        <v>55905.840300000003</v>
      </c>
      <c r="D27" s="7">
        <v>5.0000000000000001E-4</v>
      </c>
      <c r="E27" s="23">
        <f t="shared" si="0"/>
        <v>14544.913545693436</v>
      </c>
      <c r="F27" s="23">
        <f t="shared" si="1"/>
        <v>14545</v>
      </c>
      <c r="G27" s="23">
        <f t="shared" si="4"/>
        <v>-0.13601850000122795</v>
      </c>
      <c r="I27" s="23">
        <f>+G27</f>
        <v>-0.13601850000122795</v>
      </c>
      <c r="O27" s="23">
        <f t="shared" ca="1" si="2"/>
        <v>-0.13903821360950286</v>
      </c>
      <c r="Q27" s="45">
        <f t="shared" si="3"/>
        <v>40887.340300000003</v>
      </c>
    </row>
    <row r="28" spans="1:17" s="23" customFormat="1" ht="12.95" customHeight="1" x14ac:dyDescent="0.2">
      <c r="D28" s="31"/>
      <c r="Q28" s="45"/>
    </row>
    <row r="29" spans="1:17" s="23" customFormat="1" ht="12.95" customHeight="1" x14ac:dyDescent="0.2">
      <c r="D29" s="31"/>
      <c r="Q29" s="45"/>
    </row>
    <row r="30" spans="1:17" s="23" customFormat="1" ht="12.95" customHeight="1" x14ac:dyDescent="0.2">
      <c r="D30" s="31"/>
      <c r="Q30" s="45"/>
    </row>
    <row r="31" spans="1:17" s="23" customFormat="1" ht="12.95" customHeight="1" x14ac:dyDescent="0.2">
      <c r="D31" s="31"/>
      <c r="Q31" s="45"/>
    </row>
    <row r="32" spans="1:17" s="23" customFormat="1" ht="12.95" customHeight="1" x14ac:dyDescent="0.2">
      <c r="D32" s="31"/>
      <c r="Q32" s="45"/>
    </row>
    <row r="33" spans="4:17" s="23" customFormat="1" ht="12.95" customHeight="1" x14ac:dyDescent="0.2">
      <c r="D33" s="31"/>
      <c r="Q33" s="45"/>
    </row>
    <row r="34" spans="4:17" s="23" customFormat="1" ht="12.95" customHeight="1" x14ac:dyDescent="0.2">
      <c r="D34" s="31"/>
    </row>
    <row r="35" spans="4:17" s="23" customFormat="1" ht="12.95" customHeight="1" x14ac:dyDescent="0.2">
      <c r="D35" s="31"/>
    </row>
    <row r="36" spans="4:17" s="23" customFormat="1" ht="12.95" customHeight="1" x14ac:dyDescent="0.2">
      <c r="D36" s="31"/>
    </row>
    <row r="37" spans="4:17" s="23" customFormat="1" ht="12.95" customHeight="1" x14ac:dyDescent="0.2">
      <c r="D37" s="31"/>
    </row>
    <row r="38" spans="4:17" s="23" customFormat="1" ht="12.95" customHeight="1" x14ac:dyDescent="0.2">
      <c r="D38" s="31"/>
    </row>
    <row r="39" spans="4:17" s="23" customFormat="1" ht="12.95" customHeight="1" x14ac:dyDescent="0.2">
      <c r="D39" s="31"/>
    </row>
    <row r="40" spans="4:17" s="23" customFormat="1" ht="12.95" customHeight="1" x14ac:dyDescent="0.2">
      <c r="D40" s="31"/>
    </row>
    <row r="41" spans="4:17" s="23" customFormat="1" ht="12.95" customHeight="1" x14ac:dyDescent="0.2">
      <c r="D41" s="31"/>
    </row>
    <row r="42" spans="4:17" s="23" customFormat="1" ht="12.95" customHeight="1" x14ac:dyDescent="0.2">
      <c r="D42" s="31"/>
    </row>
    <row r="43" spans="4:17" s="23" customFormat="1" ht="12.95" customHeight="1" x14ac:dyDescent="0.2">
      <c r="D43" s="31"/>
    </row>
    <row r="44" spans="4:17" s="23" customFormat="1" ht="12.95" customHeight="1" x14ac:dyDescent="0.2">
      <c r="D44" s="31"/>
    </row>
    <row r="45" spans="4:17" s="23" customFormat="1" ht="12.95" customHeight="1" x14ac:dyDescent="0.2">
      <c r="D45" s="31"/>
    </row>
    <row r="46" spans="4:17" s="23" customFormat="1" ht="12.95" customHeight="1" x14ac:dyDescent="0.2">
      <c r="D46" s="31"/>
    </row>
    <row r="47" spans="4:17" s="23" customFormat="1" ht="12.95" customHeight="1" x14ac:dyDescent="0.2">
      <c r="D47" s="31"/>
    </row>
    <row r="48" spans="4:17" s="23" customFormat="1" ht="12.95" customHeight="1" x14ac:dyDescent="0.2">
      <c r="D48" s="3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4"/>
  <sheetViews>
    <sheetView workbookViewId="0">
      <selection activeCell="A14" sqref="A14:C15"/>
    </sheetView>
  </sheetViews>
  <sheetFormatPr defaultRowHeight="12.75" x14ac:dyDescent="0.2"/>
  <cols>
    <col min="1" max="1" width="19.7109375" style="5" customWidth="1"/>
    <col min="2" max="2" width="4.42578125" style="4" customWidth="1"/>
    <col min="3" max="3" width="12.7109375" style="5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5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9" t="s">
        <v>46</v>
      </c>
      <c r="I1" s="10" t="s">
        <v>47</v>
      </c>
      <c r="J1" s="11" t="s">
        <v>48</v>
      </c>
    </row>
    <row r="2" spans="1:16" x14ac:dyDescent="0.2">
      <c r="I2" s="12" t="s">
        <v>49</v>
      </c>
      <c r="J2" s="13" t="s">
        <v>50</v>
      </c>
    </row>
    <row r="3" spans="1:16" x14ac:dyDescent="0.2">
      <c r="A3" s="14" t="s">
        <v>51</v>
      </c>
      <c r="I3" s="12" t="s">
        <v>52</v>
      </c>
      <c r="J3" s="13" t="s">
        <v>53</v>
      </c>
    </row>
    <row r="4" spans="1:16" x14ac:dyDescent="0.2">
      <c r="I4" s="12" t="s">
        <v>54</v>
      </c>
      <c r="J4" s="13" t="s">
        <v>53</v>
      </c>
    </row>
    <row r="5" spans="1:16" ht="13.5" thickBot="1" x14ac:dyDescent="0.25">
      <c r="I5" s="15" t="s">
        <v>55</v>
      </c>
      <c r="J5" s="16" t="s">
        <v>56</v>
      </c>
    </row>
    <row r="10" spans="1:16" ht="13.5" thickBot="1" x14ac:dyDescent="0.25"/>
    <row r="11" spans="1:16" ht="12.75" customHeight="1" thickBot="1" x14ac:dyDescent="0.25">
      <c r="A11" s="5" t="str">
        <f>P11</f>
        <v>BAVM 178 </v>
      </c>
      <c r="B11" s="1" t="str">
        <f>IF(H11=INT(H11),"I","II")</f>
        <v>I</v>
      </c>
      <c r="C11" s="5">
        <f>1*G11</f>
        <v>53780.330699999999</v>
      </c>
      <c r="D11" s="4" t="str">
        <f>VLOOKUP(F11,I$1:J$5,2,FALSE)</f>
        <v>vis</v>
      </c>
      <c r="E11" s="17">
        <f>VLOOKUP(C11,Active!C$21:E$973,3,FALSE)</f>
        <v>13193.924830450249</v>
      </c>
      <c r="F11" s="1" t="s">
        <v>55</v>
      </c>
      <c r="G11" s="4" t="str">
        <f>MID(I11,3,LEN(I11)-3)</f>
        <v>53780.3307</v>
      </c>
      <c r="H11" s="5">
        <f>1*K11</f>
        <v>13194</v>
      </c>
      <c r="I11" s="18" t="s">
        <v>70</v>
      </c>
      <c r="J11" s="19" t="s">
        <v>71</v>
      </c>
      <c r="K11" s="18">
        <v>13194</v>
      </c>
      <c r="L11" s="18" t="s">
        <v>72</v>
      </c>
      <c r="M11" s="19" t="s">
        <v>73</v>
      </c>
      <c r="N11" s="19" t="s">
        <v>74</v>
      </c>
      <c r="O11" s="20" t="s">
        <v>75</v>
      </c>
      <c r="P11" s="21" t="s">
        <v>76</v>
      </c>
    </row>
    <row r="12" spans="1:16" ht="12.75" customHeight="1" thickBot="1" x14ac:dyDescent="0.25">
      <c r="A12" s="5" t="str">
        <f>P12</f>
        <v> JAAVSO 39;177 </v>
      </c>
      <c r="B12" s="1" t="str">
        <f>IF(H12=INT(H12),"I","II")</f>
        <v>I</v>
      </c>
      <c r="C12" s="5">
        <f>1*G12</f>
        <v>55597.476000000002</v>
      </c>
      <c r="D12" s="4" t="str">
        <f>VLOOKUP(F12,I$1:J$5,2,FALSE)</f>
        <v>vis</v>
      </c>
      <c r="E12" s="17">
        <f>VLOOKUP(C12,Active!C$21:E$973,3,FALSE)</f>
        <v>14348.915047505583</v>
      </c>
      <c r="F12" s="1" t="s">
        <v>55</v>
      </c>
      <c r="G12" s="4" t="str">
        <f>MID(I12,3,LEN(I12)-3)</f>
        <v>55597.4760</v>
      </c>
      <c r="H12" s="5">
        <f>1*K12</f>
        <v>14349</v>
      </c>
      <c r="I12" s="18" t="s">
        <v>77</v>
      </c>
      <c r="J12" s="19" t="s">
        <v>78</v>
      </c>
      <c r="K12" s="18" t="s">
        <v>79</v>
      </c>
      <c r="L12" s="18" t="s">
        <v>80</v>
      </c>
      <c r="M12" s="19" t="s">
        <v>73</v>
      </c>
      <c r="N12" s="19" t="s">
        <v>81</v>
      </c>
      <c r="O12" s="20" t="s">
        <v>82</v>
      </c>
      <c r="P12" s="20" t="s">
        <v>83</v>
      </c>
    </row>
    <row r="13" spans="1:16" ht="12.75" customHeight="1" thickBot="1" x14ac:dyDescent="0.25">
      <c r="A13" s="5" t="str">
        <f>P13</f>
        <v>IBVS 6011 </v>
      </c>
      <c r="B13" s="1" t="str">
        <f>IF(H13=INT(H13),"I","II")</f>
        <v>I</v>
      </c>
      <c r="C13" s="5">
        <f>1*G13</f>
        <v>55905.840300000003</v>
      </c>
      <c r="D13" s="4" t="str">
        <f>VLOOKUP(F13,I$1:J$5,2,FALSE)</f>
        <v>vis</v>
      </c>
      <c r="E13" s="17">
        <f>VLOOKUP(C13,Active!C$21:E$973,3,FALSE)</f>
        <v>14544.913545693436</v>
      </c>
      <c r="F13" s="1" t="s">
        <v>55</v>
      </c>
      <c r="G13" s="4" t="str">
        <f>MID(I13,3,LEN(I13)-3)</f>
        <v>55905.8403</v>
      </c>
      <c r="H13" s="5">
        <f>1*K13</f>
        <v>14545</v>
      </c>
      <c r="I13" s="18" t="s">
        <v>84</v>
      </c>
      <c r="J13" s="19" t="s">
        <v>85</v>
      </c>
      <c r="K13" s="18" t="s">
        <v>86</v>
      </c>
      <c r="L13" s="18" t="s">
        <v>87</v>
      </c>
      <c r="M13" s="19" t="s">
        <v>73</v>
      </c>
      <c r="N13" s="19" t="s">
        <v>55</v>
      </c>
      <c r="O13" s="20" t="s">
        <v>68</v>
      </c>
      <c r="P13" s="21" t="s">
        <v>88</v>
      </c>
    </row>
    <row r="14" spans="1:16" ht="12.75" customHeight="1" thickBot="1" x14ac:dyDescent="0.25">
      <c r="A14" s="5" t="str">
        <f>P14</f>
        <v> BRNO 32 </v>
      </c>
      <c r="B14" s="1" t="str">
        <f>IF(H14=INT(H14),"I","II")</f>
        <v>I</v>
      </c>
      <c r="C14" s="5">
        <f>1*G14</f>
        <v>50462.308799999999</v>
      </c>
      <c r="D14" s="4" t="str">
        <f>VLOOKUP(F14,I$1:J$5,2,FALSE)</f>
        <v>vis</v>
      </c>
      <c r="E14" s="17">
        <f>VLOOKUP(C14,Active!C$21:E$973,3,FALSE)</f>
        <v>11084.966986256204</v>
      </c>
      <c r="F14" s="1" t="s">
        <v>55</v>
      </c>
      <c r="G14" s="4" t="str">
        <f>MID(I14,3,LEN(I14)-3)</f>
        <v>50462.3088</v>
      </c>
      <c r="H14" s="5">
        <f>1*K14</f>
        <v>11085</v>
      </c>
      <c r="I14" s="18" t="s">
        <v>57</v>
      </c>
      <c r="J14" s="19" t="s">
        <v>58</v>
      </c>
      <c r="K14" s="18">
        <v>11085</v>
      </c>
      <c r="L14" s="18" t="s">
        <v>59</v>
      </c>
      <c r="M14" s="19" t="s">
        <v>60</v>
      </c>
      <c r="N14" s="19"/>
      <c r="O14" s="20" t="s">
        <v>61</v>
      </c>
      <c r="P14" s="20" t="s">
        <v>62</v>
      </c>
    </row>
    <row r="15" spans="1:16" ht="12.75" customHeight="1" thickBot="1" x14ac:dyDescent="0.25">
      <c r="A15" s="5" t="str">
        <f>P15</f>
        <v> BBS 124 </v>
      </c>
      <c r="B15" s="1" t="str">
        <f>IF(H15=INT(H15),"I","II")</f>
        <v>I</v>
      </c>
      <c r="C15" s="5">
        <f>1*G15</f>
        <v>51955.333100000003</v>
      </c>
      <c r="D15" s="4" t="str">
        <f>VLOOKUP(F15,I$1:J$5,2,FALSE)</f>
        <v>vis</v>
      </c>
      <c r="E15" s="17">
        <f>VLOOKUP(C15,Active!C$21:E$973,3,FALSE)</f>
        <v>12033.943636789263</v>
      </c>
      <c r="F15" s="1" t="s">
        <v>55</v>
      </c>
      <c r="G15" s="4" t="str">
        <f>MID(I15,3,LEN(I15)-3)</f>
        <v>51955.3331</v>
      </c>
      <c r="H15" s="5">
        <f>1*K15</f>
        <v>12034</v>
      </c>
      <c r="I15" s="18" t="s">
        <v>63</v>
      </c>
      <c r="J15" s="19" t="s">
        <v>64</v>
      </c>
      <c r="K15" s="18">
        <v>12034</v>
      </c>
      <c r="L15" s="18" t="s">
        <v>65</v>
      </c>
      <c r="M15" s="19" t="s">
        <v>66</v>
      </c>
      <c r="N15" s="19" t="s">
        <v>67</v>
      </c>
      <c r="O15" s="20" t="s">
        <v>68</v>
      </c>
      <c r="P15" s="20" t="s">
        <v>69</v>
      </c>
    </row>
    <row r="16" spans="1:16" x14ac:dyDescent="0.2">
      <c r="B16" s="1"/>
      <c r="E16" s="17"/>
      <c r="F16" s="1"/>
    </row>
    <row r="17" spans="2:6" x14ac:dyDescent="0.2">
      <c r="B17" s="1"/>
      <c r="E17" s="17"/>
      <c r="F17" s="1"/>
    </row>
    <row r="18" spans="2:6" x14ac:dyDescent="0.2">
      <c r="B18" s="1"/>
      <c r="E18" s="17"/>
      <c r="F18" s="1"/>
    </row>
    <row r="19" spans="2:6" x14ac:dyDescent="0.2">
      <c r="B19" s="1"/>
      <c r="E19" s="17"/>
      <c r="F19" s="1"/>
    </row>
    <row r="20" spans="2:6" x14ac:dyDescent="0.2">
      <c r="B20" s="1"/>
      <c r="E20" s="17"/>
      <c r="F20" s="1"/>
    </row>
    <row r="21" spans="2:6" x14ac:dyDescent="0.2">
      <c r="B21" s="1"/>
      <c r="E21" s="17"/>
      <c r="F21" s="1"/>
    </row>
    <row r="22" spans="2:6" x14ac:dyDescent="0.2">
      <c r="B22" s="1"/>
      <c r="E22" s="17"/>
      <c r="F22" s="1"/>
    </row>
    <row r="23" spans="2:6" x14ac:dyDescent="0.2">
      <c r="B23" s="1"/>
      <c r="E23" s="17"/>
      <c r="F23" s="1"/>
    </row>
    <row r="24" spans="2:6" x14ac:dyDescent="0.2">
      <c r="B24" s="1"/>
      <c r="E24" s="17"/>
      <c r="F24" s="1"/>
    </row>
    <row r="25" spans="2:6" x14ac:dyDescent="0.2">
      <c r="B25" s="1"/>
      <c r="E25" s="17"/>
      <c r="F25" s="1"/>
    </row>
    <row r="26" spans="2:6" x14ac:dyDescent="0.2">
      <c r="B26" s="1"/>
      <c r="E26" s="17"/>
      <c r="F26" s="1"/>
    </row>
    <row r="27" spans="2:6" x14ac:dyDescent="0.2">
      <c r="B27" s="1"/>
      <c r="F27" s="1"/>
    </row>
    <row r="28" spans="2:6" x14ac:dyDescent="0.2">
      <c r="B28" s="1"/>
      <c r="F28" s="1"/>
    </row>
    <row r="29" spans="2:6" x14ac:dyDescent="0.2">
      <c r="B29" s="1"/>
      <c r="F29" s="1"/>
    </row>
    <row r="30" spans="2:6" x14ac:dyDescent="0.2">
      <c r="B30" s="1"/>
      <c r="F30" s="1"/>
    </row>
    <row r="31" spans="2:6" x14ac:dyDescent="0.2">
      <c r="B31" s="1"/>
      <c r="F31" s="1"/>
    </row>
    <row r="32" spans="2: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</sheetData>
  <phoneticPr fontId="6" type="noConversion"/>
  <hyperlinks>
    <hyperlink ref="P11" r:id="rId1" display="http://www.bav-astro.de/sfs/BAVM_link.php?BAVMnr=178"/>
    <hyperlink ref="P13" r:id="rId2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2024-02-20T06:22:53Z</dcterms:modified>
</cp:coreProperties>
</file>