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D1AB24-683F-48B4-AB71-1918BA3A26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9" i="1" l="1"/>
  <c r="Q38" i="1"/>
  <c r="Q37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F11" i="1"/>
  <c r="Q44" i="1"/>
  <c r="Q46" i="1"/>
  <c r="Q45" i="1"/>
  <c r="Q42" i="1"/>
  <c r="G11" i="1"/>
  <c r="E14" i="1"/>
  <c r="E15" i="1" s="1"/>
  <c r="C17" i="1"/>
  <c r="Q43" i="1"/>
  <c r="Q40" i="1"/>
  <c r="Q41" i="1"/>
  <c r="C7" i="1"/>
  <c r="E26" i="1"/>
  <c r="F26" i="1"/>
  <c r="C8" i="1"/>
  <c r="Q27" i="1"/>
  <c r="E13" i="2"/>
  <c r="E14" i="2"/>
  <c r="E23" i="2"/>
  <c r="E29" i="2"/>
  <c r="E16" i="2"/>
  <c r="E17" i="2"/>
  <c r="E25" i="2"/>
  <c r="E20" i="2"/>
  <c r="E27" i="1"/>
  <c r="F27" i="1"/>
  <c r="E32" i="1"/>
  <c r="F32" i="1"/>
  <c r="E23" i="1"/>
  <c r="F23" i="1"/>
  <c r="G46" i="1"/>
  <c r="I46" i="1"/>
  <c r="E44" i="1"/>
  <c r="F44" i="1"/>
  <c r="E37" i="1"/>
  <c r="F37" i="1"/>
  <c r="G31" i="1"/>
  <c r="J31" i="1"/>
  <c r="E29" i="1"/>
  <c r="F29" i="1"/>
  <c r="G43" i="1"/>
  <c r="I43" i="1"/>
  <c r="E41" i="1"/>
  <c r="F41" i="1"/>
  <c r="G41" i="1"/>
  <c r="I41" i="1"/>
  <c r="E34" i="1"/>
  <c r="F34" i="1"/>
  <c r="G34" i="1"/>
  <c r="J34" i="1"/>
  <c r="G28" i="1"/>
  <c r="J28" i="1"/>
  <c r="E25" i="1"/>
  <c r="F25" i="1"/>
  <c r="G25" i="1"/>
  <c r="J25" i="1"/>
  <c r="E46" i="1"/>
  <c r="F46" i="1"/>
  <c r="E39" i="1"/>
  <c r="F39" i="1"/>
  <c r="G39" i="1"/>
  <c r="J39" i="1"/>
  <c r="E31" i="1"/>
  <c r="F31" i="1"/>
  <c r="E22" i="1"/>
  <c r="F22" i="1"/>
  <c r="G22" i="1"/>
  <c r="G45" i="1"/>
  <c r="I45" i="1"/>
  <c r="E43" i="1"/>
  <c r="F43" i="1"/>
  <c r="E36" i="1"/>
  <c r="F36" i="1"/>
  <c r="G36" i="1"/>
  <c r="J36" i="1"/>
  <c r="G30" i="1"/>
  <c r="J30" i="1"/>
  <c r="E28" i="1"/>
  <c r="F28" i="1"/>
  <c r="G21" i="1"/>
  <c r="J21" i="1"/>
  <c r="G42" i="1"/>
  <c r="I42" i="1"/>
  <c r="E40" i="1"/>
  <c r="F40" i="1"/>
  <c r="G40" i="1"/>
  <c r="I40" i="1"/>
  <c r="E33" i="1"/>
  <c r="F33" i="1"/>
  <c r="G33" i="1"/>
  <c r="J33" i="1"/>
  <c r="G26" i="1"/>
  <c r="J26" i="1"/>
  <c r="E24" i="1"/>
  <c r="F24" i="1"/>
  <c r="G24" i="1"/>
  <c r="J24" i="1"/>
  <c r="E45" i="1"/>
  <c r="F45" i="1"/>
  <c r="G27" i="1"/>
  <c r="H27" i="1"/>
  <c r="E38" i="1"/>
  <c r="F38" i="1"/>
  <c r="G38" i="1"/>
  <c r="J38" i="1"/>
  <c r="G32" i="1"/>
  <c r="J32" i="1"/>
  <c r="E30" i="1"/>
  <c r="F30" i="1"/>
  <c r="G23" i="1"/>
  <c r="J23" i="1"/>
  <c r="E21" i="1"/>
  <c r="F21" i="1"/>
  <c r="G44" i="1"/>
  <c r="I44" i="1"/>
  <c r="E42" i="1"/>
  <c r="F42" i="1"/>
  <c r="G37" i="1"/>
  <c r="J37" i="1"/>
  <c r="E35" i="1"/>
  <c r="F35" i="1"/>
  <c r="G35" i="1"/>
  <c r="J35" i="1"/>
  <c r="G29" i="1"/>
  <c r="J29" i="1"/>
  <c r="J22" i="1"/>
  <c r="E28" i="2"/>
  <c r="E22" i="2"/>
  <c r="E30" i="2"/>
  <c r="E33" i="2"/>
  <c r="E11" i="2"/>
  <c r="E18" i="2"/>
  <c r="E21" i="2"/>
  <c r="E12" i="2"/>
  <c r="E24" i="2"/>
  <c r="E34" i="2"/>
  <c r="E31" i="2"/>
  <c r="E19" i="2"/>
  <c r="E15" i="2"/>
  <c r="E32" i="2"/>
  <c r="E26" i="2"/>
  <c r="E35" i="2"/>
  <c r="E27" i="2"/>
  <c r="C12" i="1"/>
  <c r="C11" i="1"/>
  <c r="O22" i="1" l="1"/>
  <c r="O29" i="1"/>
  <c r="O36" i="1"/>
  <c r="O35" i="1"/>
  <c r="O44" i="1"/>
  <c r="O31" i="1"/>
  <c r="O37" i="1"/>
  <c r="O21" i="1"/>
  <c r="O34" i="1"/>
  <c r="O28" i="1"/>
  <c r="O26" i="1"/>
  <c r="O27" i="1"/>
  <c r="O32" i="1"/>
  <c r="O39" i="1"/>
  <c r="O25" i="1"/>
  <c r="O33" i="1"/>
  <c r="O45" i="1"/>
  <c r="O46" i="1"/>
  <c r="O38" i="1"/>
  <c r="O42" i="1"/>
  <c r="O24" i="1"/>
  <c r="O43" i="1"/>
  <c r="C15" i="1"/>
  <c r="O41" i="1"/>
  <c r="O23" i="1"/>
  <c r="O30" i="1"/>
  <c r="O40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<sst xmlns="http://schemas.openxmlformats.org/spreadsheetml/2006/main" count="290" uniqueCount="164">
  <si>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</si>
  <si>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</si>
  <si>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</si>
  <si>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</si>
  <si>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</si>
  <si>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</si>
  <si>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</si>
  <si>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</si>
  <si>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</si>
  <si>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</si>
  <si>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</si>
  <si>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</si>
  <si>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</si>
  <si>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</si>
  <si>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</si>
  <si>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</si>
  <si>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</si>
  <si>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</si>
  <si>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</si>
  <si>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</si>
  <si>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</si>
  <si>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</si>
  <si>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</si>
  <si>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</si>
  <si>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</si>
  <si>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</si>
  <si>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</si>
  <si>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</si>
  <si>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</si>
  <si>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EB</t>
  </si>
  <si>
    <t>IBVS 5643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</si>
  <si>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</si>
  <si>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</si>
  <si>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</si>
  <si>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</si>
  <si>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</si>
  <si>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</si>
  <si>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</si>
  <si>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</si>
  <si>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OEJV 0074</t>
  </si>
  <si>
    <t>I</t>
  </si>
  <si>
    <t>CCD+V</t>
  </si>
  <si>
    <t>IBVS 5945</t>
  </si>
  <si>
    <t>Add cycle</t>
  </si>
  <si>
    <t>Old Cycle</t>
  </si>
  <si>
    <t>IBVS 5690</t>
  </si>
  <si>
    <t>IBVS 6033</t>
  </si>
  <si>
    <t>IBVS 6042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</si>
  <si>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</si>
  <si>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</si>
  <si>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</si>
  <si>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</si>
  <si>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</si>
  <si>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</si>
  <si>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</si>
  <si>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</si>
  <si>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</si>
  <si>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</si>
  <si>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</si>
  <si>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</si>
  <si>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</si>
  <si>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2429634.435 </t>
  </si>
  <si>
    <t> 05.01.1940 22:26 </t>
  </si>
  <si>
    <t> -0.019 </t>
  </si>
  <si>
    <t>P </t>
  </si>
  <si>
    <t> A.A.Wachmann </t>
  </si>
  <si>
    <t> AHSB 7.3.197 </t>
  </si>
  <si>
    <t>2429686.280 </t>
  </si>
  <si>
    <t> 26.02.1940 18:43 </t>
  </si>
  <si>
    <t> 0.011 </t>
  </si>
  <si>
    <t>2429731.330 </t>
  </si>
  <si>
    <t> 11.04.1940 19:55 </t>
  </si>
  <si>
    <t> 0.004 </t>
  </si>
  <si>
    <t>2430025.325 </t>
  </si>
  <si>
    <t> 30.01.1941 19:48 </t>
  </si>
  <si>
    <t> 0.007 </t>
  </si>
  <si>
    <t>2430373.365 </t>
  </si>
  <si>
    <t> 13.01.1942 20:45 </t>
  </si>
  <si>
    <t> -0.014 </t>
  </si>
  <si>
    <t>2430382.395 </t>
  </si>
  <si>
    <t> 22.01.1942 21:28 </t>
  </si>
  <si>
    <t> 0.005 </t>
  </si>
  <si>
    <t>2431852.375 </t>
  </si>
  <si>
    <t> 31.01.1946 21:00 </t>
  </si>
  <si>
    <t> 0.021 </t>
  </si>
  <si>
    <t>2433217.535 </t>
  </si>
  <si>
    <t> 28.10.1949 00:50 </t>
  </si>
  <si>
    <t> -0.027 </t>
  </si>
  <si>
    <t>2434445.325 </t>
  </si>
  <si>
    <t> 08.03.1953 19:48 </t>
  </si>
  <si>
    <t> -0.023 </t>
  </si>
  <si>
    <t>2434748.345 </t>
  </si>
  <si>
    <t> 05.01.1954 20:16 </t>
  </si>
  <si>
    <t> -0.007 </t>
  </si>
  <si>
    <t>2434775.375 </t>
  </si>
  <si>
    <t> 01.02.1954 21:00 </t>
  </si>
  <si>
    <t> -0.011 </t>
  </si>
  <si>
    <t>2434811.410 </t>
  </si>
  <si>
    <t> 09.03.1954 21:50 </t>
  </si>
  <si>
    <t> -0.021 </t>
  </si>
  <si>
    <t>2435131.345 </t>
  </si>
  <si>
    <t> 23.01.1955 20:16 </t>
  </si>
  <si>
    <t> 0.014 </t>
  </si>
  <si>
    <t>2435184.280 </t>
  </si>
  <si>
    <t> 17.03.1955 18:43 </t>
  </si>
  <si>
    <t> 0.008 </t>
  </si>
  <si>
    <t>2435185.415 </t>
  </si>
  <si>
    <t> 18.03.1955 21:57 </t>
  </si>
  <si>
    <t> 0.016 </t>
  </si>
  <si>
    <t>2447849.523 </t>
  </si>
  <si>
    <t> 19.11.1989 00:33 </t>
  </si>
  <si>
    <t> -0.093 </t>
  </si>
  <si>
    <t> Moschner&amp;Kleikamp </t>
  </si>
  <si>
    <t>BAVM 56 </t>
  </si>
  <si>
    <t>2447928.414 </t>
  </si>
  <si>
    <t> 05.02.1990 21:56 </t>
  </si>
  <si>
    <t> -0.051 </t>
  </si>
  <si>
    <t>2448232.523 </t>
  </si>
  <si>
    <t> 07.12.1990 00:33 </t>
  </si>
  <si>
    <t> -0.072 </t>
  </si>
  <si>
    <t>BAVM 59 </t>
  </si>
  <si>
    <t>2452321.34440 </t>
  </si>
  <si>
    <t> 15.02.2002 20:15 </t>
  </si>
  <si>
    <t> -0.11577 </t>
  </si>
  <si>
    <t>C </t>
  </si>
  <si>
    <t> P.Hájek </t>
  </si>
  <si>
    <t>OEJV 0074 </t>
  </si>
  <si>
    <t>2452695.3233 </t>
  </si>
  <si>
    <t> 24.02.2003 19:45 </t>
  </si>
  <si>
    <t> -0.1047 </t>
  </si>
  <si>
    <t>E </t>
  </si>
  <si>
    <t>o</t>
  </si>
  <si>
    <t> Moschner&amp;Frank </t>
  </si>
  <si>
    <t>BAVM 172 </t>
  </si>
  <si>
    <t>2453473.6687 </t>
  </si>
  <si>
    <t> 13.04.2005 04:02 </t>
  </si>
  <si>
    <t> -0.1080 </t>
  </si>
  <si>
    <t>?</t>
  </si>
  <si>
    <t> T. Krajci </t>
  </si>
  <si>
    <t>IBVS 5690 </t>
  </si>
  <si>
    <t>2455273.6634 </t>
  </si>
  <si>
    <t> 18.03.2010 03:55 </t>
  </si>
  <si>
    <t> -0.1150 </t>
  </si>
  <si>
    <t> R.Diethelm </t>
  </si>
  <si>
    <t>IBVS 5945 </t>
  </si>
  <si>
    <t>2455600.3158 </t>
  </si>
  <si>
    <t> 07.02.2011 19:34 </t>
  </si>
  <si>
    <t> -0.1213 </t>
  </si>
  <si>
    <t>-I</t>
  </si>
  <si>
    <t> F.Agerer </t>
  </si>
  <si>
    <t>BAVM 215 </t>
  </si>
  <si>
    <t>2455911.2019 </t>
  </si>
  <si>
    <t> 15.12.2011 16:50 </t>
  </si>
  <si>
    <t>21359</t>
  </si>
  <si>
    <t> -0.1241 </t>
  </si>
  <si>
    <t> G.Marino </t>
  </si>
  <si>
    <t>IBVS 6033 </t>
  </si>
  <si>
    <t>2456273.9068 </t>
  </si>
  <si>
    <t> 12.12.2012 09:45 </t>
  </si>
  <si>
    <t>21681</t>
  </si>
  <si>
    <t> -0.1229 </t>
  </si>
  <si>
    <t>IBVS 6042 </t>
  </si>
  <si>
    <t>V0464 Mon / GSC 4818-1667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</si>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</sst>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9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V0464 Mon - O-C Diagr.</a:t>
            </a:r>
          </a:p>
        </c:rich>
      </c:tx>
      <c:layout>
        <c:manualLayout>
          <c:xMode val="edge"/>
          <c:yMode val="edge"/>
          <c:x val="0.36187432952141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9C-4BC3-BF1A-1C092A47D1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9">
                  <c:v>-0.11576519999653101</c:v>
                </c:pt>
                <c:pt idx="20">
                  <c:v>-0.1046864000018104</c:v>
                </c:pt>
                <c:pt idx="21">
                  <c:v>-0.10797449999517994</c:v>
                </c:pt>
                <c:pt idx="22">
                  <c:v>-0.11501630000566365</c:v>
                </c:pt>
                <c:pt idx="23">
                  <c:v>-0.12125530000776052</c:v>
                </c:pt>
                <c:pt idx="24">
                  <c:v>-0.12406689999625087</c:v>
                </c:pt>
                <c:pt idx="25">
                  <c:v>-0.1228971000018646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9C-4BC3-BF1A-1C092A47D1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-1.9482099996821489E-2</c:v>
                </c:pt>
                <c:pt idx="1">
                  <c:v>1.0699300000851508E-2</c:v>
                </c:pt>
                <c:pt idx="2">
                  <c:v>4.3353000037313905E-3</c:v>
                </c:pt>
                <c:pt idx="3">
                  <c:v>6.5602000031503849E-3</c:v>
                </c:pt>
                <c:pt idx="4">
                  <c:v>-1.385169999775826E-2</c:v>
                </c:pt>
                <c:pt idx="5">
                  <c:v>4.8755000025266781E-3</c:v>
                </c:pt>
                <c:pt idx="7">
                  <c:v>2.1000000000640284E-2</c:v>
                </c:pt>
                <c:pt idx="8">
                  <c:v>-2.6829199996427633E-2</c:v>
                </c:pt>
                <c:pt idx="9">
                  <c:v>-2.2748200004571117E-2</c:v>
                </c:pt>
                <c:pt idx="10">
                  <c:v>-6.7960999949718826E-3</c:v>
                </c:pt>
                <c:pt idx="11">
                  <c:v>-1.0614500002702698E-2</c:v>
                </c:pt>
                <c:pt idx="12">
                  <c:v>-2.0705699993413873E-2</c:v>
                </c:pt>
                <c:pt idx="13">
                  <c:v>1.4109900002949871E-2</c:v>
                </c:pt>
                <c:pt idx="14">
                  <c:v>7.8821999995852821E-3</c:v>
                </c:pt>
                <c:pt idx="15">
                  <c:v>1.6473100004077423E-2</c:v>
                </c:pt>
                <c:pt idx="16">
                  <c:v>-9.3038200000592042E-2</c:v>
                </c:pt>
                <c:pt idx="17">
                  <c:v>-5.0675200000114273E-2</c:v>
                </c:pt>
                <c:pt idx="18">
                  <c:v>-7.2132200002670288E-2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9C-4BC3-BF1A-1C092A47D1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9C-4BC3-BF1A-1C092A47D1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9C-4BC3-BF1A-1C092A47D1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9C-4BC3-BF1A-1C092A47D1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9C-4BC3-BF1A-1C092A47D1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-1969</c:v>
                </c:pt>
                <c:pt idx="1">
                  <c:v>-1923</c:v>
                </c:pt>
                <c:pt idx="2">
                  <c:v>-1883</c:v>
                </c:pt>
                <c:pt idx="3">
                  <c:v>-1622</c:v>
                </c:pt>
                <c:pt idx="4">
                  <c:v>-1313</c:v>
                </c:pt>
                <c:pt idx="5">
                  <c:v>-1305</c:v>
                </c:pt>
                <c:pt idx="6">
                  <c:v>0</c:v>
                </c:pt>
                <c:pt idx="7">
                  <c:v>0</c:v>
                </c:pt>
                <c:pt idx="8">
                  <c:v>1212</c:v>
                </c:pt>
                <c:pt idx="9">
                  <c:v>2302</c:v>
                </c:pt>
                <c:pt idx="10">
                  <c:v>2571</c:v>
                </c:pt>
                <c:pt idx="11">
                  <c:v>2595</c:v>
                </c:pt>
                <c:pt idx="12">
                  <c:v>2627</c:v>
                </c:pt>
                <c:pt idx="13">
                  <c:v>2911</c:v>
                </c:pt>
                <c:pt idx="14">
                  <c:v>2958</c:v>
                </c:pt>
                <c:pt idx="15">
                  <c:v>2959</c:v>
                </c:pt>
                <c:pt idx="16">
                  <c:v>14202</c:v>
                </c:pt>
                <c:pt idx="17">
                  <c:v>14272</c:v>
                </c:pt>
                <c:pt idx="18">
                  <c:v>14542</c:v>
                </c:pt>
                <c:pt idx="19">
                  <c:v>18172</c:v>
                </c:pt>
                <c:pt idx="20">
                  <c:v>18504</c:v>
                </c:pt>
                <c:pt idx="21">
                  <c:v>19195</c:v>
                </c:pt>
                <c:pt idx="22">
                  <c:v>20793</c:v>
                </c:pt>
                <c:pt idx="23">
                  <c:v>21083</c:v>
                </c:pt>
                <c:pt idx="24">
                  <c:v>21359</c:v>
                </c:pt>
                <c:pt idx="25">
                  <c:v>21681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1.4348519686391059E-2</c:v>
                </c:pt>
                <c:pt idx="1">
                  <c:v>1.4085444547422872E-2</c:v>
                </c:pt>
                <c:pt idx="2">
                  <c:v>1.3856683557015751E-2</c:v>
                </c:pt>
                <c:pt idx="3">
                  <c:v>1.2364018094609299E-2</c:v>
                </c:pt>
                <c:pt idx="4">
                  <c:v>1.0596839443714302E-2</c:v>
                </c:pt>
                <c:pt idx="5">
                  <c:v>1.0551087245632878E-2</c:v>
                </c:pt>
                <c:pt idx="6">
                  <c:v>3.087759933600609E-3</c:v>
                </c:pt>
                <c:pt idx="7">
                  <c:v>3.087759933600609E-3</c:v>
                </c:pt>
                <c:pt idx="8">
                  <c:v>-3.843698075735107E-3</c:v>
                </c:pt>
                <c:pt idx="9">
                  <c:v>-1.0077435064329109E-2</c:v>
                </c:pt>
                <c:pt idx="10">
                  <c:v>-1.1615852724816987E-2</c:v>
                </c:pt>
                <c:pt idx="11">
                  <c:v>-1.1753109319061258E-2</c:v>
                </c:pt>
                <c:pt idx="12">
                  <c:v>-1.1936118111386954E-2</c:v>
                </c:pt>
                <c:pt idx="13">
                  <c:v>-1.3560321143277501E-2</c:v>
                </c:pt>
                <c:pt idx="14">
                  <c:v>-1.3829115307005865E-2</c:v>
                </c:pt>
                <c:pt idx="15">
                  <c:v>-1.3834834331766042E-2</c:v>
                </c:pt>
                <c:pt idx="16">
                  <c:v>-7.8133829710447106E-2</c:v>
                </c:pt>
                <c:pt idx="17">
                  <c:v>-7.8534161443659573E-2</c:v>
                </c:pt>
                <c:pt idx="18">
                  <c:v>-8.0078298128907627E-2</c:v>
                </c:pt>
                <c:pt idx="19">
                  <c:v>-0.10083835800835371</c:v>
                </c:pt>
                <c:pt idx="20">
                  <c:v>-0.10273707422873279</c:v>
                </c:pt>
                <c:pt idx="21">
                  <c:v>-0.10668892033801579</c:v>
                </c:pt>
                <c:pt idx="22">
                  <c:v>-0.1158279219047802</c:v>
                </c:pt>
                <c:pt idx="23">
                  <c:v>-0.11748643908523182</c:v>
                </c:pt>
                <c:pt idx="24">
                  <c:v>-0.11906488991904093</c:v>
                </c:pt>
                <c:pt idx="25">
                  <c:v>-0.12090641589181825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9C-4BC3-BF1A-1C092A47D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774616"/>
        <c:axId val="1"/>
      </c:scatterChart>
      <c:valAx>
        <c:axId val="63277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774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32165587540652"/>
          <c:y val="0.92024539877300615"/>
          <c:w val="0.7463656138297737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16</xdr:col>
      <xdr:colOff>638175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0AA15A-936D-583B-F6EF-BAFC09EE2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59" TargetMode="External"/><Relationship Id="rId7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bav-astro.de/sfs/BAVM_link.php?BAVMnr=56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bav-astro.de/sfs/BAVM_link.php?BAVMnr=172" TargetMode="External"/><Relationship Id="rId10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95" customHeight="1" x14ac:dyDescent="0.2"/>
  <cols>
    <col min="1" max="1" width="14.42578125" style="21" customWidth="1"/>
    <col min="2" max="2" width="5.140625" style="21" customWidth="1"/>
    <col min="3" max="3" width="11.85546875" style="21" customWidth="1"/>
    <col min="4" max="4" width="9.42578125" style="21" customWidth="1"/>
    <col min="5" max="5" width="17.28515625" style="21" customWidth="1"/>
    <col min="6" max="6" width="9.140625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6384" width="10.28515625" style="21"/>
  </cols>
  <sheetData>
    <row r="1" spans="1:7" customFormat="1" ht="20.25" x14ac:dyDescent="0.3">
      <c r="A1" s="20" t="s">
        <v>162</v>
      </c>
    </row>
    <row r="2" spans="1:7" ht="12.95" customHeight="1" x14ac:dyDescent="0.2">
      <c r="A2" s="21" t="s">
        <v>24</v>
      </c>
      <c r="B2" s="21" t="s">
        <v>29</v>
      </c>
    </row>
    <row r="3" spans="1:7" ht="12.95" customHeight="1" thickBot="1" x14ac:dyDescent="0.25"/>
    <row r="4" spans="1:7" ht="12.95" customHeight="1" thickTop="1" thickBot="1" x14ac:dyDescent="0.25">
      <c r="A4" s="22" t="s">
        <v>0</v>
      </c>
      <c r="C4" s="23">
        <v>31852.353999999999</v>
      </c>
      <c r="D4" s="24">
        <v>1.1264091000000001</v>
      </c>
    </row>
    <row r="5" spans="1:7" ht="12.95" customHeight="1" thickTop="1" x14ac:dyDescent="0.2"/>
    <row r="6" spans="1:7" ht="12.95" customHeight="1" x14ac:dyDescent="0.2">
      <c r="A6" s="22" t="s">
        <v>1</v>
      </c>
    </row>
    <row r="7" spans="1:7" ht="12.95" customHeight="1" x14ac:dyDescent="0.2">
      <c r="A7" s="21" t="s">
        <v>2</v>
      </c>
      <c r="C7" s="21">
        <f>+C4</f>
        <v>31852.353999999999</v>
      </c>
    </row>
    <row r="8" spans="1:7" ht="12.95" customHeight="1" x14ac:dyDescent="0.2">
      <c r="A8" s="21" t="s">
        <v>3</v>
      </c>
      <c r="C8" s="21">
        <f>+D4</f>
        <v>1.1264091000000001</v>
      </c>
    </row>
    <row r="9" spans="1:7" ht="12.95" customHeight="1" x14ac:dyDescent="0.2">
      <c r="A9" s="25" t="s">
        <v>31</v>
      </c>
      <c r="C9" s="26">
        <v>-9.5</v>
      </c>
      <c r="D9" s="21" t="s">
        <v>32</v>
      </c>
    </row>
    <row r="10" spans="1:7" ht="12.95" customHeight="1" thickBot="1" x14ac:dyDescent="0.25">
      <c r="C10" s="27" t="s">
        <v>20</v>
      </c>
      <c r="D10" s="27" t="s">
        <v>21</v>
      </c>
    </row>
    <row r="11" spans="1:7" ht="12.95" customHeight="1" x14ac:dyDescent="0.2">
      <c r="A11" s="21" t="s">
        <v>16</v>
      </c>
      <c r="C11" s="28">
        <f ca="1">INTERCEPT(INDIRECT($G$11):G992,INDIRECT($F$11):F992)</f>
        <v>3.087759933600609E-3</v>
      </c>
      <c r="D11" s="29"/>
      <c r="F11" s="30" t="str">
        <f>"F"&amp;E19</f>
        <v>F22</v>
      </c>
      <c r="G11" s="28" t="str">
        <f>"G"&amp;E19</f>
        <v>G22</v>
      </c>
    </row>
    <row r="12" spans="1:7" ht="12.95" customHeight="1" x14ac:dyDescent="0.2">
      <c r="A12" s="21" t="s">
        <v>17</v>
      </c>
      <c r="C12" s="28">
        <f ca="1">SLOPE(INDIRECT($G$11):G992,INDIRECT($F$11):F992)</f>
        <v>-5.7190247601779835E-6</v>
      </c>
      <c r="D12" s="29"/>
    </row>
    <row r="13" spans="1:7" ht="12.95" customHeight="1" x14ac:dyDescent="0.2">
      <c r="A13" s="21" t="s">
        <v>19</v>
      </c>
      <c r="C13" s="29" t="s">
        <v>14</v>
      </c>
      <c r="D13" s="31" t="s">
        <v>43</v>
      </c>
      <c r="E13" s="26">
        <v>1</v>
      </c>
    </row>
    <row r="14" spans="1:7" ht="12.95" customHeight="1" x14ac:dyDescent="0.2">
      <c r="D14" s="31" t="s">
        <v>33</v>
      </c>
      <c r="E14" s="32">
        <f ca="1">NOW()+15018.5+$C$9/24</f>
        <v>60360.813405208333</v>
      </c>
    </row>
    <row r="15" spans="1:7" ht="12.95" customHeight="1" x14ac:dyDescent="0.2">
      <c r="A15" s="33" t="s">
        <v>18</v>
      </c>
      <c r="C15" s="34">
        <f ca="1">(C7+C11)+(C8+C12)*INT(MAX(F21:F3533))</f>
        <v>56273.908790684109</v>
      </c>
      <c r="D15" s="31" t="s">
        <v>44</v>
      </c>
      <c r="E15" s="32">
        <f ca="1">ROUND(2*(E14-$C$7)/$C$8,0)/2+E13</f>
        <v>25310</v>
      </c>
    </row>
    <row r="16" spans="1:7" ht="12.95" customHeight="1" x14ac:dyDescent="0.2">
      <c r="A16" s="22" t="s">
        <v>4</v>
      </c>
      <c r="C16" s="35">
        <f ca="1">+C8+C12</f>
        <v>1.1264033809752398</v>
      </c>
      <c r="D16" s="31" t="s">
        <v>34</v>
      </c>
      <c r="E16" s="28">
        <f ca="1">ROUND(2*(E14-$C$15)/$C$16,0)/2+E13</f>
        <v>3629.5</v>
      </c>
    </row>
    <row r="17" spans="1:17" ht="12.95" customHeight="1" thickBot="1" x14ac:dyDescent="0.25">
      <c r="A17" s="31" t="s">
        <v>35</v>
      </c>
      <c r="C17" s="21">
        <f>COUNT(C21:C2191)</f>
        <v>26</v>
      </c>
      <c r="D17" s="31" t="s">
        <v>36</v>
      </c>
      <c r="E17" s="36">
        <f ca="1">+$C$15+$C$16*E16-15018.5-$C$9/24</f>
        <v>45344.08569526708</v>
      </c>
    </row>
    <row r="18" spans="1:17" ht="12.95" customHeight="1" x14ac:dyDescent="0.2">
      <c r="A18" s="22" t="s">
        <v>5</v>
      </c>
      <c r="C18" s="23">
        <f ca="1">+C15</f>
        <v>56273.908790684109</v>
      </c>
      <c r="D18" s="24">
        <f ca="1">+C16</f>
        <v>1.1264033809752398</v>
      </c>
      <c r="E18" s="37" t="s">
        <v>37</v>
      </c>
    </row>
    <row r="19" spans="1:17" ht="12.95" customHeight="1" thickTop="1" x14ac:dyDescent="0.2">
      <c r="A19" s="38" t="s">
        <v>38</v>
      </c>
      <c r="E19" s="39">
        <v>22</v>
      </c>
    </row>
    <row r="20" spans="1:17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13</v>
      </c>
      <c r="E20" s="27" t="s">
        <v>9</v>
      </c>
      <c r="F20" s="27" t="s">
        <v>10</v>
      </c>
      <c r="G20" s="27" t="s">
        <v>11</v>
      </c>
      <c r="H20" s="40" t="s">
        <v>12</v>
      </c>
      <c r="I20" s="40" t="s">
        <v>51</v>
      </c>
      <c r="J20" s="40" t="s">
        <v>163</v>
      </c>
      <c r="K20" s="40" t="s">
        <v>25</v>
      </c>
      <c r="L20" s="40" t="s">
        <v>26</v>
      </c>
      <c r="M20" s="40" t="s">
        <v>27</v>
      </c>
      <c r="N20" s="40" t="s">
        <v>28</v>
      </c>
      <c r="O20" s="40" t="s">
        <v>23</v>
      </c>
      <c r="P20" s="41" t="s">
        <v>22</v>
      </c>
      <c r="Q20" s="27" t="s">
        <v>15</v>
      </c>
    </row>
    <row r="21" spans="1:17" ht="12.95" customHeight="1" x14ac:dyDescent="0.2">
      <c r="A21" s="42" t="s">
        <v>66</v>
      </c>
      <c r="B21" s="43" t="s">
        <v>40</v>
      </c>
      <c r="C21" s="42">
        <v>29634.435000000001</v>
      </c>
      <c r="D21" s="29"/>
      <c r="E21" s="21">
        <f t="shared" ref="E21:E46" si="0">+(C21-C$7)/C$8</f>
        <v>-1969.017295758706</v>
      </c>
      <c r="F21" s="21">
        <f t="shared" ref="F21:F46" si="1">ROUND(2*E21,0)/2</f>
        <v>-1969</v>
      </c>
      <c r="G21" s="21">
        <f t="shared" ref="G21:G46" si="2">+C21-(C$7+F21*C$8)</f>
        <v>-1.9482099996821489E-2</v>
      </c>
      <c r="J21" s="21">
        <f>+G21</f>
        <v>-1.9482099996821489E-2</v>
      </c>
      <c r="O21" s="21">
        <f t="shared" ref="O21:O46" ca="1" si="3">+C$11+C$12*$F21</f>
        <v>1.4348519686391059E-2</v>
      </c>
      <c r="Q21" s="44">
        <f t="shared" ref="Q21:Q46" si="4">+C21-15018.5</f>
        <v>14615.935000000001</v>
      </c>
    </row>
    <row r="22" spans="1:17" ht="12.95" customHeight="1" x14ac:dyDescent="0.2">
      <c r="A22" s="42" t="s">
        <v>66</v>
      </c>
      <c r="B22" s="43" t="s">
        <v>40</v>
      </c>
      <c r="C22" s="42">
        <v>29686.28</v>
      </c>
      <c r="D22" s="29"/>
      <c r="E22" s="21">
        <f t="shared" si="0"/>
        <v>-1922.990501408414</v>
      </c>
      <c r="F22" s="21">
        <f t="shared" si="1"/>
        <v>-1923</v>
      </c>
      <c r="G22" s="21">
        <f t="shared" si="2"/>
        <v>1.0699300000851508E-2</v>
      </c>
      <c r="J22" s="21">
        <f>+G22</f>
        <v>1.0699300000851508E-2</v>
      </c>
      <c r="O22" s="21">
        <f t="shared" ca="1" si="3"/>
        <v>1.4085444547422872E-2</v>
      </c>
      <c r="Q22" s="44">
        <f t="shared" si="4"/>
        <v>14667.779999999999</v>
      </c>
    </row>
    <row r="23" spans="1:17" ht="12.95" customHeight="1" x14ac:dyDescent="0.2">
      <c r="A23" s="42" t="s">
        <v>66</v>
      </c>
      <c r="B23" s="43" t="s">
        <v>40</v>
      </c>
      <c r="C23" s="42">
        <v>29731.33</v>
      </c>
      <c r="D23" s="29"/>
      <c r="E23" s="21">
        <f t="shared" si="0"/>
        <v>-1882.9961512207221</v>
      </c>
      <c r="F23" s="21">
        <f t="shared" si="1"/>
        <v>-1883</v>
      </c>
      <c r="G23" s="21">
        <f t="shared" si="2"/>
        <v>4.3353000037313905E-3</v>
      </c>
      <c r="J23" s="21">
        <f>+G23</f>
        <v>4.3353000037313905E-3</v>
      </c>
      <c r="O23" s="21">
        <f t="shared" ca="1" si="3"/>
        <v>1.3856683557015751E-2</v>
      </c>
      <c r="Q23" s="44">
        <f t="shared" si="4"/>
        <v>14712.830000000002</v>
      </c>
    </row>
    <row r="24" spans="1:17" ht="12.95" customHeight="1" x14ac:dyDescent="0.2">
      <c r="A24" s="42" t="s">
        <v>66</v>
      </c>
      <c r="B24" s="43" t="s">
        <v>40</v>
      </c>
      <c r="C24" s="42">
        <v>30025.325000000001</v>
      </c>
      <c r="D24" s="29"/>
      <c r="E24" s="21">
        <f t="shared" si="0"/>
        <v>-1621.9941760058566</v>
      </c>
      <c r="F24" s="21">
        <f t="shared" si="1"/>
        <v>-1622</v>
      </c>
      <c r="G24" s="21">
        <f t="shared" si="2"/>
        <v>6.5602000031503849E-3</v>
      </c>
      <c r="J24" s="21">
        <f>+G24</f>
        <v>6.5602000031503849E-3</v>
      </c>
      <c r="O24" s="21">
        <f t="shared" ca="1" si="3"/>
        <v>1.2364018094609299E-2</v>
      </c>
      <c r="Q24" s="44">
        <f t="shared" si="4"/>
        <v>15006.825000000001</v>
      </c>
    </row>
    <row r="25" spans="1:17" ht="12.95" customHeight="1" x14ac:dyDescent="0.2">
      <c r="A25" s="42" t="s">
        <v>66</v>
      </c>
      <c r="B25" s="43" t="s">
        <v>40</v>
      </c>
      <c r="C25" s="42">
        <v>30373.365000000002</v>
      </c>
      <c r="D25" s="29"/>
      <c r="E25" s="21">
        <f t="shared" si="0"/>
        <v>-1313.0122972195427</v>
      </c>
      <c r="F25" s="21">
        <f t="shared" si="1"/>
        <v>-1313</v>
      </c>
      <c r="G25" s="21">
        <f t="shared" si="2"/>
        <v>-1.385169999775826E-2</v>
      </c>
      <c r="J25" s="21">
        <f>+G25</f>
        <v>-1.385169999775826E-2</v>
      </c>
      <c r="O25" s="21">
        <f t="shared" ca="1" si="3"/>
        <v>1.0596839443714302E-2</v>
      </c>
      <c r="Q25" s="44">
        <f t="shared" si="4"/>
        <v>15354.865000000002</v>
      </c>
    </row>
    <row r="26" spans="1:17" ht="12.95" customHeight="1" x14ac:dyDescent="0.2">
      <c r="A26" s="42" t="s">
        <v>66</v>
      </c>
      <c r="B26" s="43" t="s">
        <v>40</v>
      </c>
      <c r="C26" s="42">
        <v>30382.395</v>
      </c>
      <c r="D26" s="29"/>
      <c r="E26" s="21">
        <f t="shared" si="0"/>
        <v>-1304.9956716436318</v>
      </c>
      <c r="F26" s="21">
        <f t="shared" si="1"/>
        <v>-1305</v>
      </c>
      <c r="G26" s="21">
        <f t="shared" si="2"/>
        <v>4.8755000025266781E-3</v>
      </c>
      <c r="J26" s="21">
        <f>+G26</f>
        <v>4.8755000025266781E-3</v>
      </c>
      <c r="O26" s="21">
        <f t="shared" ca="1" si="3"/>
        <v>1.0551087245632878E-2</v>
      </c>
      <c r="Q26" s="44">
        <f t="shared" si="4"/>
        <v>15363.895</v>
      </c>
    </row>
    <row r="27" spans="1:17" ht="12.95" customHeight="1" x14ac:dyDescent="0.2">
      <c r="A27" s="21" t="s">
        <v>12</v>
      </c>
      <c r="C27" s="45">
        <v>31852.353999999999</v>
      </c>
      <c r="D27" s="45" t="s">
        <v>14</v>
      </c>
      <c r="E27" s="21">
        <f t="shared" si="0"/>
        <v>0</v>
      </c>
      <c r="F27" s="21">
        <f t="shared" si="1"/>
        <v>0</v>
      </c>
      <c r="G27" s="21">
        <f t="shared" si="2"/>
        <v>0</v>
      </c>
      <c r="H27" s="21">
        <f>+G27</f>
        <v>0</v>
      </c>
      <c r="O27" s="21">
        <f t="shared" ca="1" si="3"/>
        <v>3.087759933600609E-3</v>
      </c>
      <c r="Q27" s="44">
        <f t="shared" si="4"/>
        <v>16833.853999999999</v>
      </c>
    </row>
    <row r="28" spans="1:17" ht="12.95" customHeight="1" x14ac:dyDescent="0.2">
      <c r="A28" s="42" t="s">
        <v>66</v>
      </c>
      <c r="B28" s="43" t="s">
        <v>40</v>
      </c>
      <c r="C28" s="42">
        <v>31852.375</v>
      </c>
      <c r="D28" s="29"/>
      <c r="E28" s="21">
        <f t="shared" si="0"/>
        <v>1.8643315293386996E-2</v>
      </c>
      <c r="F28" s="21">
        <f t="shared" si="1"/>
        <v>0</v>
      </c>
      <c r="G28" s="21">
        <f t="shared" si="2"/>
        <v>2.1000000000640284E-2</v>
      </c>
      <c r="J28" s="21">
        <f>+G28</f>
        <v>2.1000000000640284E-2</v>
      </c>
      <c r="O28" s="21">
        <f t="shared" ca="1" si="3"/>
        <v>3.087759933600609E-3</v>
      </c>
      <c r="Q28" s="44">
        <f t="shared" si="4"/>
        <v>16833.875</v>
      </c>
    </row>
    <row r="29" spans="1:17" ht="12.95" customHeight="1" x14ac:dyDescent="0.2">
      <c r="A29" s="42" t="s">
        <v>66</v>
      </c>
      <c r="B29" s="43" t="s">
        <v>40</v>
      </c>
      <c r="C29" s="42">
        <v>33217.535000000003</v>
      </c>
      <c r="D29" s="29"/>
      <c r="E29" s="21">
        <f t="shared" si="0"/>
        <v>1211.9761816554962</v>
      </c>
      <c r="F29" s="21">
        <f t="shared" si="1"/>
        <v>1212</v>
      </c>
      <c r="G29" s="21">
        <f t="shared" si="2"/>
        <v>-2.6829199996427633E-2</v>
      </c>
      <c r="J29" s="21">
        <f>+G29</f>
        <v>-2.6829199996427633E-2</v>
      </c>
      <c r="O29" s="21">
        <f t="shared" ca="1" si="3"/>
        <v>-3.843698075735107E-3</v>
      </c>
      <c r="Q29" s="44">
        <f t="shared" si="4"/>
        <v>18199.035000000003</v>
      </c>
    </row>
    <row r="30" spans="1:17" ht="12.95" customHeight="1" x14ac:dyDescent="0.2">
      <c r="A30" s="42" t="s">
        <v>66</v>
      </c>
      <c r="B30" s="43" t="s">
        <v>40</v>
      </c>
      <c r="C30" s="42">
        <v>34445.324999999997</v>
      </c>
      <c r="D30" s="29"/>
      <c r="E30" s="21">
        <f t="shared" si="0"/>
        <v>2301.9798046730957</v>
      </c>
      <c r="F30" s="21">
        <f t="shared" si="1"/>
        <v>2302</v>
      </c>
      <c r="G30" s="21">
        <f t="shared" si="2"/>
        <v>-2.2748200004571117E-2</v>
      </c>
      <c r="J30" s="21">
        <f>+G30</f>
        <v>-2.2748200004571117E-2</v>
      </c>
      <c r="O30" s="21">
        <f t="shared" ca="1" si="3"/>
        <v>-1.0077435064329109E-2</v>
      </c>
      <c r="Q30" s="44">
        <f t="shared" si="4"/>
        <v>19426.824999999997</v>
      </c>
    </row>
    <row r="31" spans="1:17" ht="12.95" customHeight="1" x14ac:dyDescent="0.2">
      <c r="A31" s="42" t="s">
        <v>66</v>
      </c>
      <c r="B31" s="43" t="s">
        <v>40</v>
      </c>
      <c r="C31" s="42">
        <v>34748.345000000001</v>
      </c>
      <c r="D31" s="29"/>
      <c r="E31" s="21">
        <f t="shared" si="0"/>
        <v>2570.9939665792845</v>
      </c>
      <c r="F31" s="21">
        <f t="shared" si="1"/>
        <v>2571</v>
      </c>
      <c r="G31" s="21">
        <f t="shared" si="2"/>
        <v>-6.7960999949718826E-3</v>
      </c>
      <c r="J31" s="21">
        <f>+G31</f>
        <v>-6.7960999949718826E-3</v>
      </c>
      <c r="O31" s="21">
        <f t="shared" ca="1" si="3"/>
        <v>-1.1615852724816987E-2</v>
      </c>
      <c r="Q31" s="44">
        <f t="shared" si="4"/>
        <v>19729.845000000001</v>
      </c>
    </row>
    <row r="32" spans="1:17" ht="12.95" customHeight="1" x14ac:dyDescent="0.2">
      <c r="A32" s="42" t="s">
        <v>66</v>
      </c>
      <c r="B32" s="43" t="s">
        <v>40</v>
      </c>
      <c r="C32" s="42">
        <v>34775.375</v>
      </c>
      <c r="D32" s="29"/>
      <c r="E32" s="21">
        <f t="shared" si="0"/>
        <v>2594.9905766918969</v>
      </c>
      <c r="F32" s="21">
        <f t="shared" si="1"/>
        <v>2595</v>
      </c>
      <c r="G32" s="21">
        <f t="shared" si="2"/>
        <v>-1.0614500002702698E-2</v>
      </c>
      <c r="J32" s="21">
        <f>+G32</f>
        <v>-1.0614500002702698E-2</v>
      </c>
      <c r="O32" s="21">
        <f t="shared" ca="1" si="3"/>
        <v>-1.1753109319061258E-2</v>
      </c>
      <c r="Q32" s="44">
        <f t="shared" si="4"/>
        <v>19756.875</v>
      </c>
    </row>
    <row r="33" spans="1:17" ht="12.95" customHeight="1" x14ac:dyDescent="0.2">
      <c r="A33" s="42" t="s">
        <v>66</v>
      </c>
      <c r="B33" s="43" t="s">
        <v>40</v>
      </c>
      <c r="C33" s="42">
        <v>34811.410000000003</v>
      </c>
      <c r="D33" s="29"/>
      <c r="E33" s="21">
        <f t="shared" si="0"/>
        <v>2626.9816179574577</v>
      </c>
      <c r="F33" s="21">
        <f t="shared" si="1"/>
        <v>2627</v>
      </c>
      <c r="G33" s="21">
        <f t="shared" si="2"/>
        <v>-2.0705699993413873E-2</v>
      </c>
      <c r="J33" s="21">
        <f>+G33</f>
        <v>-2.0705699993413873E-2</v>
      </c>
      <c r="O33" s="21">
        <f t="shared" ca="1" si="3"/>
        <v>-1.1936118111386954E-2</v>
      </c>
      <c r="Q33" s="44">
        <f t="shared" si="4"/>
        <v>19792.910000000003</v>
      </c>
    </row>
    <row r="34" spans="1:17" ht="12.95" customHeight="1" x14ac:dyDescent="0.2">
      <c r="A34" s="42" t="s">
        <v>66</v>
      </c>
      <c r="B34" s="43" t="s">
        <v>40</v>
      </c>
      <c r="C34" s="42">
        <v>35131.345000000001</v>
      </c>
      <c r="D34" s="29"/>
      <c r="E34" s="21">
        <f t="shared" si="0"/>
        <v>2911.0125264435469</v>
      </c>
      <c r="F34" s="21">
        <f t="shared" si="1"/>
        <v>2911</v>
      </c>
      <c r="G34" s="21">
        <f t="shared" si="2"/>
        <v>1.4109900002949871E-2</v>
      </c>
      <c r="J34" s="21">
        <f>+G34</f>
        <v>1.4109900002949871E-2</v>
      </c>
      <c r="O34" s="21">
        <f t="shared" ca="1" si="3"/>
        <v>-1.3560321143277501E-2</v>
      </c>
      <c r="Q34" s="44">
        <f t="shared" si="4"/>
        <v>20112.845000000001</v>
      </c>
    </row>
    <row r="35" spans="1:17" ht="12.95" customHeight="1" x14ac:dyDescent="0.2">
      <c r="A35" s="42" t="s">
        <v>66</v>
      </c>
      <c r="B35" s="43" t="s">
        <v>40</v>
      </c>
      <c r="C35" s="42">
        <v>35184.28</v>
      </c>
      <c r="D35" s="29"/>
      <c r="E35" s="21">
        <f t="shared" si="0"/>
        <v>2958.0069976352279</v>
      </c>
      <c r="F35" s="21">
        <f t="shared" si="1"/>
        <v>2958</v>
      </c>
      <c r="G35" s="21">
        <f t="shared" si="2"/>
        <v>7.8821999995852821E-3</v>
      </c>
      <c r="J35" s="21">
        <f>+G35</f>
        <v>7.8821999995852821E-3</v>
      </c>
      <c r="O35" s="21">
        <f t="shared" ca="1" si="3"/>
        <v>-1.3829115307005865E-2</v>
      </c>
      <c r="Q35" s="44">
        <f t="shared" si="4"/>
        <v>20165.78</v>
      </c>
    </row>
    <row r="36" spans="1:17" ht="12.95" customHeight="1" x14ac:dyDescent="0.2">
      <c r="A36" s="42" t="s">
        <v>66</v>
      </c>
      <c r="B36" s="43" t="s">
        <v>40</v>
      </c>
      <c r="C36" s="42">
        <v>35185.415000000001</v>
      </c>
      <c r="D36" s="29"/>
      <c r="E36" s="21">
        <f t="shared" si="0"/>
        <v>2959.0146244379607</v>
      </c>
      <c r="F36" s="21">
        <f t="shared" si="1"/>
        <v>2959</v>
      </c>
      <c r="G36" s="21">
        <f t="shared" si="2"/>
        <v>1.6473100004077423E-2</v>
      </c>
      <c r="J36" s="21">
        <f>+G36</f>
        <v>1.6473100004077423E-2</v>
      </c>
      <c r="O36" s="21">
        <f t="shared" ca="1" si="3"/>
        <v>-1.3834834331766042E-2</v>
      </c>
      <c r="Q36" s="44">
        <f t="shared" si="4"/>
        <v>20166.915000000001</v>
      </c>
    </row>
    <row r="37" spans="1:17" ht="12.95" customHeight="1" x14ac:dyDescent="0.2">
      <c r="A37" s="42" t="s">
        <v>113</v>
      </c>
      <c r="B37" s="43" t="s">
        <v>40</v>
      </c>
      <c r="C37" s="42">
        <v>47849.523000000001</v>
      </c>
      <c r="D37" s="29"/>
      <c r="E37" s="21">
        <f t="shared" si="0"/>
        <v>14201.917402833484</v>
      </c>
      <c r="F37" s="21">
        <f t="shared" si="1"/>
        <v>14202</v>
      </c>
      <c r="G37" s="21">
        <f t="shared" si="2"/>
        <v>-9.3038200000592042E-2</v>
      </c>
      <c r="J37" s="21">
        <f>+G37</f>
        <v>-9.3038200000592042E-2</v>
      </c>
      <c r="O37" s="21">
        <f t="shared" ca="1" si="3"/>
        <v>-7.8133829710447106E-2</v>
      </c>
      <c r="Q37" s="44">
        <f t="shared" si="4"/>
        <v>32831.023000000001</v>
      </c>
    </row>
    <row r="38" spans="1:17" ht="12.95" customHeight="1" x14ac:dyDescent="0.2">
      <c r="A38" s="42" t="s">
        <v>113</v>
      </c>
      <c r="B38" s="43" t="s">
        <v>40</v>
      </c>
      <c r="C38" s="42">
        <v>47928.413999999997</v>
      </c>
      <c r="D38" s="29"/>
      <c r="E38" s="21">
        <f t="shared" si="0"/>
        <v>14271.955011727086</v>
      </c>
      <c r="F38" s="21">
        <f t="shared" si="1"/>
        <v>14272</v>
      </c>
      <c r="G38" s="21">
        <f t="shared" si="2"/>
        <v>-5.0675200000114273E-2</v>
      </c>
      <c r="J38" s="21">
        <f>+G38</f>
        <v>-5.0675200000114273E-2</v>
      </c>
      <c r="O38" s="21">
        <f t="shared" ca="1" si="3"/>
        <v>-7.8534161443659573E-2</v>
      </c>
      <c r="Q38" s="44">
        <f t="shared" si="4"/>
        <v>32909.913999999997</v>
      </c>
    </row>
    <row r="39" spans="1:17" ht="12.95" customHeight="1" x14ac:dyDescent="0.2">
      <c r="A39" s="42" t="s">
        <v>120</v>
      </c>
      <c r="B39" s="43" t="s">
        <v>40</v>
      </c>
      <c r="C39" s="42">
        <v>48232.523000000001</v>
      </c>
      <c r="D39" s="29"/>
      <c r="E39" s="21">
        <f t="shared" si="0"/>
        <v>14541.935962697746</v>
      </c>
      <c r="F39" s="21">
        <f t="shared" si="1"/>
        <v>14542</v>
      </c>
      <c r="G39" s="21">
        <f t="shared" si="2"/>
        <v>-7.2132200002670288E-2</v>
      </c>
      <c r="J39" s="21">
        <f>+G39</f>
        <v>-7.2132200002670288E-2</v>
      </c>
      <c r="O39" s="21">
        <f t="shared" ca="1" si="3"/>
        <v>-8.0078298128907627E-2</v>
      </c>
      <c r="Q39" s="44">
        <f t="shared" si="4"/>
        <v>33214.023000000001</v>
      </c>
    </row>
    <row r="40" spans="1:17" ht="12.95" customHeight="1" x14ac:dyDescent="0.2">
      <c r="A40" s="46" t="s">
        <v>39</v>
      </c>
      <c r="B40" s="47" t="s">
        <v>40</v>
      </c>
      <c r="C40" s="48">
        <v>52321.344400000002</v>
      </c>
      <c r="D40" s="48" t="s">
        <v>41</v>
      </c>
      <c r="E40" s="21">
        <f t="shared" si="0"/>
        <v>18171.897226327452</v>
      </c>
      <c r="F40" s="21">
        <f t="shared" si="1"/>
        <v>18172</v>
      </c>
      <c r="G40" s="21">
        <f t="shared" si="2"/>
        <v>-0.11576519999653101</v>
      </c>
      <c r="I40" s="21">
        <f>+G40</f>
        <v>-0.11576519999653101</v>
      </c>
      <c r="O40" s="21">
        <f t="shared" ca="1" si="3"/>
        <v>-0.10083835800835371</v>
      </c>
      <c r="Q40" s="44">
        <f t="shared" si="4"/>
        <v>37302.844400000002</v>
      </c>
    </row>
    <row r="41" spans="1:17" ht="12.95" customHeight="1" x14ac:dyDescent="0.2">
      <c r="A41" s="4" t="s">
        <v>30</v>
      </c>
      <c r="B41" s="49"/>
      <c r="C41" s="50">
        <v>52695.323299999996</v>
      </c>
      <c r="D41" s="50">
        <v>2.9999999999999997E-4</v>
      </c>
      <c r="E41" s="21">
        <f t="shared" si="0"/>
        <v>18503.907061830374</v>
      </c>
      <c r="F41" s="21">
        <f t="shared" si="1"/>
        <v>18504</v>
      </c>
      <c r="G41" s="21">
        <f t="shared" si="2"/>
        <v>-0.1046864000018104</v>
      </c>
      <c r="I41" s="21">
        <f t="shared" ref="I41:I46" si="5">+G41</f>
        <v>-0.1046864000018104</v>
      </c>
      <c r="O41" s="21">
        <f t="shared" ca="1" si="3"/>
        <v>-0.10273707422873279</v>
      </c>
      <c r="Q41" s="44">
        <f t="shared" si="4"/>
        <v>37676.823299999996</v>
      </c>
    </row>
    <row r="42" spans="1:17" ht="12.95" customHeight="1" x14ac:dyDescent="0.2">
      <c r="A42" s="5" t="s">
        <v>45</v>
      </c>
      <c r="B42" s="6" t="s">
        <v>40</v>
      </c>
      <c r="C42" s="5">
        <v>53473.668700000002</v>
      </c>
      <c r="D42" s="5">
        <v>5.9999999999999995E-4</v>
      </c>
      <c r="E42" s="21">
        <f t="shared" si="0"/>
        <v>19194.904142731091</v>
      </c>
      <c r="F42" s="21">
        <f t="shared" si="1"/>
        <v>19195</v>
      </c>
      <c r="G42" s="21">
        <f t="shared" si="2"/>
        <v>-0.10797449999517994</v>
      </c>
      <c r="I42" s="21">
        <f t="shared" si="5"/>
        <v>-0.10797449999517994</v>
      </c>
      <c r="O42" s="21">
        <f t="shared" ca="1" si="3"/>
        <v>-0.10668892033801579</v>
      </c>
      <c r="Q42" s="44">
        <f t="shared" si="4"/>
        <v>38455.168700000002</v>
      </c>
    </row>
    <row r="43" spans="1:17" ht="12.95" customHeight="1" x14ac:dyDescent="0.2">
      <c r="A43" s="5" t="s">
        <v>42</v>
      </c>
      <c r="B43" s="6" t="s">
        <v>40</v>
      </c>
      <c r="C43" s="5">
        <v>55273.663399999998</v>
      </c>
      <c r="D43" s="5">
        <v>6.9999999999999999E-4</v>
      </c>
      <c r="E43" s="21">
        <f t="shared" si="0"/>
        <v>20792.897891183584</v>
      </c>
      <c r="F43" s="21">
        <f t="shared" si="1"/>
        <v>20793</v>
      </c>
      <c r="G43" s="21">
        <f t="shared" si="2"/>
        <v>-0.11501630000566365</v>
      </c>
      <c r="I43" s="21">
        <f t="shared" si="5"/>
        <v>-0.11501630000566365</v>
      </c>
      <c r="O43" s="21">
        <f t="shared" ca="1" si="3"/>
        <v>-0.1158279219047802</v>
      </c>
      <c r="Q43" s="44">
        <f t="shared" si="4"/>
        <v>40255.163399999998</v>
      </c>
    </row>
    <row r="44" spans="1:17" ht="12.95" customHeight="1" x14ac:dyDescent="0.2">
      <c r="A44" s="51" t="s">
        <v>48</v>
      </c>
      <c r="B44" s="51"/>
      <c r="C44" s="52">
        <v>55600.315799999997</v>
      </c>
      <c r="D44" s="52">
        <v>5.9999999999999995E-4</v>
      </c>
      <c r="E44" s="21">
        <f t="shared" si="0"/>
        <v>21082.892352343384</v>
      </c>
      <c r="F44" s="21">
        <f t="shared" si="1"/>
        <v>21083</v>
      </c>
      <c r="G44" s="21">
        <f t="shared" si="2"/>
        <v>-0.12125530000776052</v>
      </c>
      <c r="I44" s="21">
        <f t="shared" si="5"/>
        <v>-0.12125530000776052</v>
      </c>
      <c r="O44" s="21">
        <f t="shared" ca="1" si="3"/>
        <v>-0.11748643908523182</v>
      </c>
      <c r="Q44" s="44">
        <f t="shared" si="4"/>
        <v>40581.815799999997</v>
      </c>
    </row>
    <row r="45" spans="1:17" ht="12.95" customHeight="1" x14ac:dyDescent="0.2">
      <c r="A45" s="53" t="s">
        <v>46</v>
      </c>
      <c r="B45" s="54" t="s">
        <v>40</v>
      </c>
      <c r="C45" s="55">
        <v>55911.2019</v>
      </c>
      <c r="D45" s="55">
        <v>5.9999999999999995E-4</v>
      </c>
      <c r="E45" s="21">
        <f t="shared" si="0"/>
        <v>21358.889856269805</v>
      </c>
      <c r="F45" s="21">
        <f t="shared" si="1"/>
        <v>21359</v>
      </c>
      <c r="G45" s="21">
        <f t="shared" si="2"/>
        <v>-0.12406689999625087</v>
      </c>
      <c r="I45" s="21">
        <f t="shared" si="5"/>
        <v>-0.12406689999625087</v>
      </c>
      <c r="O45" s="21">
        <f t="shared" ca="1" si="3"/>
        <v>-0.11906488991904093</v>
      </c>
      <c r="Q45" s="44">
        <f t="shared" si="4"/>
        <v>40892.7019</v>
      </c>
    </row>
    <row r="46" spans="1:17" ht="12.95" customHeight="1" x14ac:dyDescent="0.2">
      <c r="A46" s="56" t="s">
        <v>47</v>
      </c>
      <c r="B46" s="57" t="s">
        <v>40</v>
      </c>
      <c r="C46" s="58">
        <v>56273.906799999997</v>
      </c>
      <c r="D46" s="58">
        <v>5.0000000000000001E-4</v>
      </c>
      <c r="E46" s="21">
        <f t="shared" si="0"/>
        <v>21680.890894791242</v>
      </c>
      <c r="F46" s="21">
        <f t="shared" si="1"/>
        <v>21681</v>
      </c>
      <c r="G46" s="21">
        <f t="shared" si="2"/>
        <v>-0.1228971000018646</v>
      </c>
      <c r="I46" s="21">
        <f t="shared" si="5"/>
        <v>-0.1228971000018646</v>
      </c>
      <c r="O46" s="21">
        <f t="shared" ca="1" si="3"/>
        <v>-0.12090641589181825</v>
      </c>
      <c r="Q46" s="44">
        <f t="shared" si="4"/>
        <v>41255.406799999997</v>
      </c>
    </row>
    <row r="47" spans="1:17" ht="12.95" customHeight="1" x14ac:dyDescent="0.2">
      <c r="D47" s="29"/>
    </row>
    <row r="48" spans="1:17" ht="12.95" customHeight="1" x14ac:dyDescent="0.2">
      <c r="D48" s="29"/>
    </row>
    <row r="49" spans="4:4" ht="12.95" customHeight="1" x14ac:dyDescent="0.2">
      <c r="D49" s="29"/>
    </row>
    <row r="50" spans="4:4" ht="12.95" customHeight="1" x14ac:dyDescent="0.2">
      <c r="D50" s="29"/>
    </row>
    <row r="51" spans="4:4" ht="12.95" customHeight="1" x14ac:dyDescent="0.2">
      <c r="D51" s="29"/>
    </row>
    <row r="52" spans="4:4" ht="12.95" customHeight="1" x14ac:dyDescent="0.2">
      <c r="D52" s="29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4"/>
  <sheetViews>
    <sheetView workbookViewId="0">
      <selection activeCell="A18" sqref="A18:C35"/>
    </sheetView>
  </sheetViews>
  <sheetFormatPr defaultRowHeight="12.75" x14ac:dyDescent="0.2"/>
  <cols>
    <col min="1" max="1" width="19.7109375" style="3" customWidth="1"/>
    <col min="2" max="2" width="4.42578125" style="2" customWidth="1"/>
    <col min="3" max="3" width="12.7109375" style="3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3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7" t="s">
        <v>49</v>
      </c>
      <c r="I1" s="8" t="s">
        <v>50</v>
      </c>
      <c r="J1" s="9" t="s">
        <v>51</v>
      </c>
    </row>
    <row r="2" spans="1:16" x14ac:dyDescent="0.2">
      <c r="I2" s="10" t="s">
        <v>52</v>
      </c>
      <c r="J2" s="11" t="s">
        <v>53</v>
      </c>
    </row>
    <row r="3" spans="1:16" x14ac:dyDescent="0.2">
      <c r="A3" s="12" t="s">
        <v>54</v>
      </c>
      <c r="I3" s="10" t="s">
        <v>55</v>
      </c>
      <c r="J3" s="11" t="s">
        <v>56</v>
      </c>
    </row>
    <row r="4" spans="1:16" x14ac:dyDescent="0.2">
      <c r="I4" s="10" t="s">
        <v>57</v>
      </c>
      <c r="J4" s="11" t="s">
        <v>56</v>
      </c>
    </row>
    <row r="5" spans="1:16" ht="13.5" thickBot="1" x14ac:dyDescent="0.25">
      <c r="I5" s="13" t="s">
        <v>58</v>
      </c>
      <c r="J5" s="14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35" si="0">P11</f>
        <v>OEJV 0074 </v>
      </c>
      <c r="B11" s="1" t="str">
        <f t="shared" ref="B11:B35" si="1">IF(H11=INT(H11),"I","II")</f>
        <v>I</v>
      </c>
      <c r="C11" s="3">
        <f t="shared" ref="C11:C35" si="2">1*G11</f>
        <v>52321.344400000002</v>
      </c>
      <c r="D11" s="2" t="str">
        <f t="shared" ref="D11:D35" si="3">VLOOKUP(F11,I$1:J$5,2,FALSE)</f>
        <v>vis</v>
      </c>
      <c r="E11" s="15">
        <f>VLOOKUP(C11,Active!C$21:E$973,3,FALSE)</f>
        <v>18171.897226327452</v>
      </c>
      <c r="F11" s="1" t="s">
        <v>58</v>
      </c>
      <c r="G11" s="2" t="str">
        <f t="shared" ref="G11:G35" si="4">MID(I11,3,LEN(I11)-3)</f>
        <v>52321.34440</v>
      </c>
      <c r="H11" s="3">
        <f t="shared" ref="H11:H35" si="5">1*K11</f>
        <v>18172</v>
      </c>
      <c r="I11" s="16" t="s">
        <v>121</v>
      </c>
      <c r="J11" s="17" t="s">
        <v>122</v>
      </c>
      <c r="K11" s="16">
        <v>18172</v>
      </c>
      <c r="L11" s="16" t="s">
        <v>123</v>
      </c>
      <c r="M11" s="17" t="s">
        <v>124</v>
      </c>
      <c r="N11" s="17" t="s">
        <v>58</v>
      </c>
      <c r="O11" s="18" t="s">
        <v>125</v>
      </c>
      <c r="P11" s="19" t="s">
        <v>126</v>
      </c>
    </row>
    <row r="12" spans="1:16" ht="12.75" customHeight="1" thickBot="1" x14ac:dyDescent="0.25">
      <c r="A12" s="3" t="str">
        <f t="shared" si="0"/>
        <v>BAVM 172 </v>
      </c>
      <c r="B12" s="1" t="str">
        <f t="shared" si="1"/>
        <v>I</v>
      </c>
      <c r="C12" s="3">
        <f t="shared" si="2"/>
        <v>52695.323299999996</v>
      </c>
      <c r="D12" s="2" t="str">
        <f t="shared" si="3"/>
        <v>vis</v>
      </c>
      <c r="E12" s="15">
        <f>VLOOKUP(C12,Active!C$21:E$973,3,FALSE)</f>
        <v>18503.907061830374</v>
      </c>
      <c r="F12" s="1" t="s">
        <v>58</v>
      </c>
      <c r="G12" s="2" t="str">
        <f t="shared" si="4"/>
        <v>52695.3233</v>
      </c>
      <c r="H12" s="3">
        <f t="shared" si="5"/>
        <v>18504</v>
      </c>
      <c r="I12" s="16" t="s">
        <v>127</v>
      </c>
      <c r="J12" s="17" t="s">
        <v>128</v>
      </c>
      <c r="K12" s="16">
        <v>18504</v>
      </c>
      <c r="L12" s="16" t="s">
        <v>129</v>
      </c>
      <c r="M12" s="17" t="s">
        <v>130</v>
      </c>
      <c r="N12" s="17" t="s">
        <v>131</v>
      </c>
      <c r="O12" s="18" t="s">
        <v>132</v>
      </c>
      <c r="P12" s="19" t="s">
        <v>133</v>
      </c>
    </row>
    <row r="13" spans="1:16" ht="12.75" customHeight="1" thickBot="1" x14ac:dyDescent="0.25">
      <c r="A13" s="3" t="str">
        <f t="shared" si="0"/>
        <v>IBVS 5690 </v>
      </c>
      <c r="B13" s="1" t="str">
        <f t="shared" si="1"/>
        <v>I</v>
      </c>
      <c r="C13" s="3">
        <f t="shared" si="2"/>
        <v>53473.668700000002</v>
      </c>
      <c r="D13" s="2" t="str">
        <f t="shared" si="3"/>
        <v>vis</v>
      </c>
      <c r="E13" s="15">
        <f>VLOOKUP(C13,Active!C$21:E$973,3,FALSE)</f>
        <v>19194.904142731091</v>
      </c>
      <c r="F13" s="1" t="s">
        <v>58</v>
      </c>
      <c r="G13" s="2" t="str">
        <f t="shared" si="4"/>
        <v>53473.6687</v>
      </c>
      <c r="H13" s="3">
        <f t="shared" si="5"/>
        <v>19195</v>
      </c>
      <c r="I13" s="16" t="s">
        <v>134</v>
      </c>
      <c r="J13" s="17" t="s">
        <v>135</v>
      </c>
      <c r="K13" s="16">
        <v>19195</v>
      </c>
      <c r="L13" s="16" t="s">
        <v>136</v>
      </c>
      <c r="M13" s="17" t="s">
        <v>130</v>
      </c>
      <c r="N13" s="17" t="s">
        <v>137</v>
      </c>
      <c r="O13" s="18" t="s">
        <v>138</v>
      </c>
      <c r="P13" s="19" t="s">
        <v>139</v>
      </c>
    </row>
    <row r="14" spans="1:16" ht="12.75" customHeight="1" thickBot="1" x14ac:dyDescent="0.25">
      <c r="A14" s="3" t="str">
        <f t="shared" si="0"/>
        <v>IBVS 5945 </v>
      </c>
      <c r="B14" s="1" t="str">
        <f t="shared" si="1"/>
        <v>I</v>
      </c>
      <c r="C14" s="3">
        <f t="shared" si="2"/>
        <v>55273.663399999998</v>
      </c>
      <c r="D14" s="2" t="str">
        <f t="shared" si="3"/>
        <v>vis</v>
      </c>
      <c r="E14" s="15">
        <f>VLOOKUP(C14,Active!C$21:E$973,3,FALSE)</f>
        <v>20792.897891183584</v>
      </c>
      <c r="F14" s="1" t="s">
        <v>58</v>
      </c>
      <c r="G14" s="2" t="str">
        <f t="shared" si="4"/>
        <v>55273.6634</v>
      </c>
      <c r="H14" s="3">
        <f t="shared" si="5"/>
        <v>20793</v>
      </c>
      <c r="I14" s="16" t="s">
        <v>140</v>
      </c>
      <c r="J14" s="17" t="s">
        <v>141</v>
      </c>
      <c r="K14" s="16">
        <v>20793</v>
      </c>
      <c r="L14" s="16" t="s">
        <v>142</v>
      </c>
      <c r="M14" s="17" t="s">
        <v>124</v>
      </c>
      <c r="N14" s="17" t="s">
        <v>58</v>
      </c>
      <c r="O14" s="18" t="s">
        <v>143</v>
      </c>
      <c r="P14" s="19" t="s">
        <v>144</v>
      </c>
    </row>
    <row r="15" spans="1:16" ht="12.75" customHeight="1" thickBot="1" x14ac:dyDescent="0.25">
      <c r="A15" s="3" t="str">
        <f t="shared" si="0"/>
        <v>BAVM 215 </v>
      </c>
      <c r="B15" s="1" t="str">
        <f t="shared" si="1"/>
        <v>I</v>
      </c>
      <c r="C15" s="3">
        <f t="shared" si="2"/>
        <v>55600.315799999997</v>
      </c>
      <c r="D15" s="2" t="str">
        <f t="shared" si="3"/>
        <v>vis</v>
      </c>
      <c r="E15" s="15">
        <f>VLOOKUP(C15,Active!C$21:E$973,3,FALSE)</f>
        <v>21082.892352343384</v>
      </c>
      <c r="F15" s="1" t="s">
        <v>58</v>
      </c>
      <c r="G15" s="2" t="str">
        <f t="shared" si="4"/>
        <v>55600.3158</v>
      </c>
      <c r="H15" s="3">
        <f t="shared" si="5"/>
        <v>21083</v>
      </c>
      <c r="I15" s="16" t="s">
        <v>145</v>
      </c>
      <c r="J15" s="17" t="s">
        <v>146</v>
      </c>
      <c r="K15" s="16">
        <v>21083</v>
      </c>
      <c r="L15" s="16" t="s">
        <v>147</v>
      </c>
      <c r="M15" s="17" t="s">
        <v>124</v>
      </c>
      <c r="N15" s="17" t="s">
        <v>148</v>
      </c>
      <c r="O15" s="18" t="s">
        <v>149</v>
      </c>
      <c r="P15" s="19" t="s">
        <v>150</v>
      </c>
    </row>
    <row r="16" spans="1:16" ht="12.75" customHeight="1" thickBot="1" x14ac:dyDescent="0.25">
      <c r="A16" s="3" t="str">
        <f t="shared" si="0"/>
        <v>IBVS 6033 </v>
      </c>
      <c r="B16" s="1" t="str">
        <f t="shared" si="1"/>
        <v>I</v>
      </c>
      <c r="C16" s="3">
        <f t="shared" si="2"/>
        <v>55911.2019</v>
      </c>
      <c r="D16" s="2" t="str">
        <f t="shared" si="3"/>
        <v>vis</v>
      </c>
      <c r="E16" s="15">
        <f>VLOOKUP(C16,Active!C$21:E$973,3,FALSE)</f>
        <v>21358.889856269805</v>
      </c>
      <c r="F16" s="1" t="s">
        <v>58</v>
      </c>
      <c r="G16" s="2" t="str">
        <f t="shared" si="4"/>
        <v>55911.2019</v>
      </c>
      <c r="H16" s="3">
        <f t="shared" si="5"/>
        <v>21359</v>
      </c>
      <c r="I16" s="16" t="s">
        <v>151</v>
      </c>
      <c r="J16" s="17" t="s">
        <v>152</v>
      </c>
      <c r="K16" s="16" t="s">
        <v>153</v>
      </c>
      <c r="L16" s="16" t="s">
        <v>154</v>
      </c>
      <c r="M16" s="17" t="s">
        <v>124</v>
      </c>
      <c r="N16" s="17" t="s">
        <v>131</v>
      </c>
      <c r="O16" s="18" t="s">
        <v>155</v>
      </c>
      <c r="P16" s="19" t="s">
        <v>156</v>
      </c>
    </row>
    <row r="17" spans="1:16" ht="12.75" customHeight="1" thickBot="1" x14ac:dyDescent="0.25">
      <c r="A17" s="3" t="str">
        <f t="shared" si="0"/>
        <v>IBVS 6042 </v>
      </c>
      <c r="B17" s="1" t="str">
        <f t="shared" si="1"/>
        <v>I</v>
      </c>
      <c r="C17" s="3">
        <f t="shared" si="2"/>
        <v>56273.906799999997</v>
      </c>
      <c r="D17" s="2" t="str">
        <f t="shared" si="3"/>
        <v>vis</v>
      </c>
      <c r="E17" s="15">
        <f>VLOOKUP(C17,Active!C$21:E$973,3,FALSE)</f>
        <v>21680.890894791242</v>
      </c>
      <c r="F17" s="1" t="s">
        <v>58</v>
      </c>
      <c r="G17" s="2" t="str">
        <f t="shared" si="4"/>
        <v>56273.9068</v>
      </c>
      <c r="H17" s="3">
        <f t="shared" si="5"/>
        <v>21681</v>
      </c>
      <c r="I17" s="16" t="s">
        <v>157</v>
      </c>
      <c r="J17" s="17" t="s">
        <v>158</v>
      </c>
      <c r="K17" s="16" t="s">
        <v>159</v>
      </c>
      <c r="L17" s="16" t="s">
        <v>160</v>
      </c>
      <c r="M17" s="17" t="s">
        <v>124</v>
      </c>
      <c r="N17" s="17" t="s">
        <v>58</v>
      </c>
      <c r="O17" s="18" t="s">
        <v>143</v>
      </c>
      <c r="P17" s="19" t="s">
        <v>161</v>
      </c>
    </row>
    <row r="18" spans="1:16" ht="12.75" customHeight="1" thickBot="1" x14ac:dyDescent="0.25">
      <c r="A18" s="3" t="str">
        <f t="shared" si="0"/>
        <v> AHSB 7.3.197 </v>
      </c>
      <c r="B18" s="1" t="str">
        <f t="shared" si="1"/>
        <v>I</v>
      </c>
      <c r="C18" s="3">
        <f t="shared" si="2"/>
        <v>29634.435000000001</v>
      </c>
      <c r="D18" s="2" t="str">
        <f t="shared" si="3"/>
        <v>vis</v>
      </c>
      <c r="E18" s="15">
        <f>VLOOKUP(C18,Active!C$21:E$973,3,FALSE)</f>
        <v>-1969.017295758706</v>
      </c>
      <c r="F18" s="1" t="s">
        <v>58</v>
      </c>
      <c r="G18" s="2" t="str">
        <f t="shared" si="4"/>
        <v>29634.435</v>
      </c>
      <c r="H18" s="3">
        <f t="shared" si="5"/>
        <v>-1969</v>
      </c>
      <c r="I18" s="16" t="s">
        <v>61</v>
      </c>
      <c r="J18" s="17" t="s">
        <v>62</v>
      </c>
      <c r="K18" s="16">
        <v>-1969</v>
      </c>
      <c r="L18" s="16" t="s">
        <v>63</v>
      </c>
      <c r="M18" s="17" t="s">
        <v>64</v>
      </c>
      <c r="N18" s="17"/>
      <c r="O18" s="18" t="s">
        <v>65</v>
      </c>
      <c r="P18" s="18" t="s">
        <v>66</v>
      </c>
    </row>
    <row r="19" spans="1:16" ht="12.75" customHeight="1" thickBot="1" x14ac:dyDescent="0.25">
      <c r="A19" s="3" t="str">
        <f t="shared" si="0"/>
        <v> AHSB 7.3.197 </v>
      </c>
      <c r="B19" s="1" t="str">
        <f t="shared" si="1"/>
        <v>I</v>
      </c>
      <c r="C19" s="3">
        <f t="shared" si="2"/>
        <v>29686.28</v>
      </c>
      <c r="D19" s="2" t="str">
        <f t="shared" si="3"/>
        <v>vis</v>
      </c>
      <c r="E19" s="15">
        <f>VLOOKUP(C19,Active!C$21:E$973,3,FALSE)</f>
        <v>-1922.990501408414</v>
      </c>
      <c r="F19" s="1" t="s">
        <v>58</v>
      </c>
      <c r="G19" s="2" t="str">
        <f t="shared" si="4"/>
        <v>29686.280</v>
      </c>
      <c r="H19" s="3">
        <f t="shared" si="5"/>
        <v>-1923</v>
      </c>
      <c r="I19" s="16" t="s">
        <v>67</v>
      </c>
      <c r="J19" s="17" t="s">
        <v>68</v>
      </c>
      <c r="K19" s="16">
        <v>-1923</v>
      </c>
      <c r="L19" s="16" t="s">
        <v>69</v>
      </c>
      <c r="M19" s="17" t="s">
        <v>64</v>
      </c>
      <c r="N19" s="17"/>
      <c r="O19" s="18" t="s">
        <v>65</v>
      </c>
      <c r="P19" s="18" t="s">
        <v>66</v>
      </c>
    </row>
    <row r="20" spans="1:16" ht="12.75" customHeight="1" thickBot="1" x14ac:dyDescent="0.25">
      <c r="A20" s="3" t="str">
        <f t="shared" si="0"/>
        <v> AHSB 7.3.197 </v>
      </c>
      <c r="B20" s="1" t="str">
        <f t="shared" si="1"/>
        <v>I</v>
      </c>
      <c r="C20" s="3">
        <f t="shared" si="2"/>
        <v>29731.33</v>
      </c>
      <c r="D20" s="2" t="str">
        <f t="shared" si="3"/>
        <v>vis</v>
      </c>
      <c r="E20" s="15">
        <f>VLOOKUP(C20,Active!C$21:E$973,3,FALSE)</f>
        <v>-1882.9961512207221</v>
      </c>
      <c r="F20" s="1" t="s">
        <v>58</v>
      </c>
      <c r="G20" s="2" t="str">
        <f t="shared" si="4"/>
        <v>29731.330</v>
      </c>
      <c r="H20" s="3">
        <f t="shared" si="5"/>
        <v>-1883</v>
      </c>
      <c r="I20" s="16" t="s">
        <v>70</v>
      </c>
      <c r="J20" s="17" t="s">
        <v>71</v>
      </c>
      <c r="K20" s="16">
        <v>-1883</v>
      </c>
      <c r="L20" s="16" t="s">
        <v>72</v>
      </c>
      <c r="M20" s="17" t="s">
        <v>64</v>
      </c>
      <c r="N20" s="17"/>
      <c r="O20" s="18" t="s">
        <v>65</v>
      </c>
      <c r="P20" s="18" t="s">
        <v>66</v>
      </c>
    </row>
    <row r="21" spans="1:16" ht="12.75" customHeight="1" thickBot="1" x14ac:dyDescent="0.25">
      <c r="A21" s="3" t="str">
        <f t="shared" si="0"/>
        <v> AHSB 7.3.197 </v>
      </c>
      <c r="B21" s="1" t="str">
        <f t="shared" si="1"/>
        <v>I</v>
      </c>
      <c r="C21" s="3">
        <f t="shared" si="2"/>
        <v>30025.325000000001</v>
      </c>
      <c r="D21" s="2" t="str">
        <f t="shared" si="3"/>
        <v>vis</v>
      </c>
      <c r="E21" s="15">
        <f>VLOOKUP(C21,Active!C$21:E$973,3,FALSE)</f>
        <v>-1621.9941760058566</v>
      </c>
      <c r="F21" s="1" t="s">
        <v>58</v>
      </c>
      <c r="G21" s="2" t="str">
        <f t="shared" si="4"/>
        <v>30025.325</v>
      </c>
      <c r="H21" s="3">
        <f t="shared" si="5"/>
        <v>-1622</v>
      </c>
      <c r="I21" s="16" t="s">
        <v>73</v>
      </c>
      <c r="J21" s="17" t="s">
        <v>74</v>
      </c>
      <c r="K21" s="16">
        <v>-1622</v>
      </c>
      <c r="L21" s="16" t="s">
        <v>75</v>
      </c>
      <c r="M21" s="17" t="s">
        <v>64</v>
      </c>
      <c r="N21" s="17"/>
      <c r="O21" s="18" t="s">
        <v>65</v>
      </c>
      <c r="P21" s="18" t="s">
        <v>66</v>
      </c>
    </row>
    <row r="22" spans="1:16" ht="12.75" customHeight="1" thickBot="1" x14ac:dyDescent="0.25">
      <c r="A22" s="3" t="str">
        <f t="shared" si="0"/>
        <v> AHSB 7.3.197 </v>
      </c>
      <c r="B22" s="1" t="str">
        <f t="shared" si="1"/>
        <v>I</v>
      </c>
      <c r="C22" s="3">
        <f t="shared" si="2"/>
        <v>30373.365000000002</v>
      </c>
      <c r="D22" s="2" t="str">
        <f t="shared" si="3"/>
        <v>vis</v>
      </c>
      <c r="E22" s="15">
        <f>VLOOKUP(C22,Active!C$21:E$973,3,FALSE)</f>
        <v>-1313.0122972195427</v>
      </c>
      <c r="F22" s="1" t="s">
        <v>58</v>
      </c>
      <c r="G22" s="2" t="str">
        <f t="shared" si="4"/>
        <v>30373.365</v>
      </c>
      <c r="H22" s="3">
        <f t="shared" si="5"/>
        <v>-1313</v>
      </c>
      <c r="I22" s="16" t="s">
        <v>76</v>
      </c>
      <c r="J22" s="17" t="s">
        <v>77</v>
      </c>
      <c r="K22" s="16">
        <v>-1313</v>
      </c>
      <c r="L22" s="16" t="s">
        <v>78</v>
      </c>
      <c r="M22" s="17" t="s">
        <v>64</v>
      </c>
      <c r="N22" s="17"/>
      <c r="O22" s="18" t="s">
        <v>65</v>
      </c>
      <c r="P22" s="18" t="s">
        <v>66</v>
      </c>
    </row>
    <row r="23" spans="1:16" ht="12.75" customHeight="1" thickBot="1" x14ac:dyDescent="0.25">
      <c r="A23" s="3" t="str">
        <f t="shared" si="0"/>
        <v> AHSB 7.3.197 </v>
      </c>
      <c r="B23" s="1" t="str">
        <f t="shared" si="1"/>
        <v>I</v>
      </c>
      <c r="C23" s="3">
        <f t="shared" si="2"/>
        <v>30382.395</v>
      </c>
      <c r="D23" s="2" t="str">
        <f t="shared" si="3"/>
        <v>vis</v>
      </c>
      <c r="E23" s="15">
        <f>VLOOKUP(C23,Active!C$21:E$973,3,FALSE)</f>
        <v>-1304.9956716436318</v>
      </c>
      <c r="F23" s="1" t="s">
        <v>58</v>
      </c>
      <c r="G23" s="2" t="str">
        <f t="shared" si="4"/>
        <v>30382.395</v>
      </c>
      <c r="H23" s="3">
        <f t="shared" si="5"/>
        <v>-1305</v>
      </c>
      <c r="I23" s="16" t="s">
        <v>79</v>
      </c>
      <c r="J23" s="17" t="s">
        <v>80</v>
      </c>
      <c r="K23" s="16">
        <v>-1305</v>
      </c>
      <c r="L23" s="16" t="s">
        <v>81</v>
      </c>
      <c r="M23" s="17" t="s">
        <v>64</v>
      </c>
      <c r="N23" s="17"/>
      <c r="O23" s="18" t="s">
        <v>65</v>
      </c>
      <c r="P23" s="18" t="s">
        <v>66</v>
      </c>
    </row>
    <row r="24" spans="1:16" ht="12.75" customHeight="1" thickBot="1" x14ac:dyDescent="0.25">
      <c r="A24" s="3" t="str">
        <f t="shared" si="0"/>
        <v> AHSB 7.3.197 </v>
      </c>
      <c r="B24" s="1" t="str">
        <f t="shared" si="1"/>
        <v>I</v>
      </c>
      <c r="C24" s="3">
        <f t="shared" si="2"/>
        <v>31852.375</v>
      </c>
      <c r="D24" s="2" t="str">
        <f t="shared" si="3"/>
        <v>vis</v>
      </c>
      <c r="E24" s="15">
        <f>VLOOKUP(C24,Active!C$21:E$973,3,FALSE)</f>
        <v>1.8643315293386996E-2</v>
      </c>
      <c r="F24" s="1" t="s">
        <v>58</v>
      </c>
      <c r="G24" s="2" t="str">
        <f t="shared" si="4"/>
        <v>31852.375</v>
      </c>
      <c r="H24" s="3">
        <f t="shared" si="5"/>
        <v>0</v>
      </c>
      <c r="I24" s="16" t="s">
        <v>82</v>
      </c>
      <c r="J24" s="17" t="s">
        <v>83</v>
      </c>
      <c r="K24" s="16">
        <v>0</v>
      </c>
      <c r="L24" s="16" t="s">
        <v>84</v>
      </c>
      <c r="M24" s="17" t="s">
        <v>64</v>
      </c>
      <c r="N24" s="17"/>
      <c r="O24" s="18" t="s">
        <v>65</v>
      </c>
      <c r="P24" s="18" t="s">
        <v>66</v>
      </c>
    </row>
    <row r="25" spans="1:16" ht="12.75" customHeight="1" thickBot="1" x14ac:dyDescent="0.25">
      <c r="A25" s="3" t="str">
        <f t="shared" si="0"/>
        <v> AHSB 7.3.197 </v>
      </c>
      <c r="B25" s="1" t="str">
        <f t="shared" si="1"/>
        <v>I</v>
      </c>
      <c r="C25" s="3">
        <f t="shared" si="2"/>
        <v>33217.535000000003</v>
      </c>
      <c r="D25" s="2" t="str">
        <f t="shared" si="3"/>
        <v>vis</v>
      </c>
      <c r="E25" s="15">
        <f>VLOOKUP(C25,Active!C$21:E$973,3,FALSE)</f>
        <v>1211.9761816554962</v>
      </c>
      <c r="F25" s="1" t="s">
        <v>58</v>
      </c>
      <c r="G25" s="2" t="str">
        <f t="shared" si="4"/>
        <v>33217.535</v>
      </c>
      <c r="H25" s="3">
        <f t="shared" si="5"/>
        <v>1212</v>
      </c>
      <c r="I25" s="16" t="s">
        <v>85</v>
      </c>
      <c r="J25" s="17" t="s">
        <v>86</v>
      </c>
      <c r="K25" s="16">
        <v>1212</v>
      </c>
      <c r="L25" s="16" t="s">
        <v>87</v>
      </c>
      <c r="M25" s="17" t="s">
        <v>64</v>
      </c>
      <c r="N25" s="17"/>
      <c r="O25" s="18" t="s">
        <v>65</v>
      </c>
      <c r="P25" s="18" t="s">
        <v>66</v>
      </c>
    </row>
    <row r="26" spans="1:16" ht="12.75" customHeight="1" thickBot="1" x14ac:dyDescent="0.25">
      <c r="A26" s="3" t="str">
        <f t="shared" si="0"/>
        <v> AHSB 7.3.197 </v>
      </c>
      <c r="B26" s="1" t="str">
        <f t="shared" si="1"/>
        <v>I</v>
      </c>
      <c r="C26" s="3">
        <f t="shared" si="2"/>
        <v>34445.324999999997</v>
      </c>
      <c r="D26" s="2" t="str">
        <f t="shared" si="3"/>
        <v>vis</v>
      </c>
      <c r="E26" s="15">
        <f>VLOOKUP(C26,Active!C$21:E$973,3,FALSE)</f>
        <v>2301.9798046730957</v>
      </c>
      <c r="F26" s="1" t="s">
        <v>58</v>
      </c>
      <c r="G26" s="2" t="str">
        <f t="shared" si="4"/>
        <v>34445.325</v>
      </c>
      <c r="H26" s="3">
        <f t="shared" si="5"/>
        <v>2302</v>
      </c>
      <c r="I26" s="16" t="s">
        <v>88</v>
      </c>
      <c r="J26" s="17" t="s">
        <v>89</v>
      </c>
      <c r="K26" s="16">
        <v>2302</v>
      </c>
      <c r="L26" s="16" t="s">
        <v>90</v>
      </c>
      <c r="M26" s="17" t="s">
        <v>64</v>
      </c>
      <c r="N26" s="17"/>
      <c r="O26" s="18" t="s">
        <v>65</v>
      </c>
      <c r="P26" s="18" t="s">
        <v>66</v>
      </c>
    </row>
    <row r="27" spans="1:16" ht="12.75" customHeight="1" thickBot="1" x14ac:dyDescent="0.25">
      <c r="A27" s="3" t="str">
        <f t="shared" si="0"/>
        <v> AHSB 7.3.197 </v>
      </c>
      <c r="B27" s="1" t="str">
        <f t="shared" si="1"/>
        <v>I</v>
      </c>
      <c r="C27" s="3">
        <f t="shared" si="2"/>
        <v>34748.345000000001</v>
      </c>
      <c r="D27" s="2" t="str">
        <f t="shared" si="3"/>
        <v>vis</v>
      </c>
      <c r="E27" s="15">
        <f>VLOOKUP(C27,Active!C$21:E$973,3,FALSE)</f>
        <v>2570.9939665792845</v>
      </c>
      <c r="F27" s="1" t="s">
        <v>58</v>
      </c>
      <c r="G27" s="2" t="str">
        <f t="shared" si="4"/>
        <v>34748.345</v>
      </c>
      <c r="H27" s="3">
        <f t="shared" si="5"/>
        <v>2571</v>
      </c>
      <c r="I27" s="16" t="s">
        <v>91</v>
      </c>
      <c r="J27" s="17" t="s">
        <v>92</v>
      </c>
      <c r="K27" s="16">
        <v>2571</v>
      </c>
      <c r="L27" s="16" t="s">
        <v>93</v>
      </c>
      <c r="M27" s="17" t="s">
        <v>64</v>
      </c>
      <c r="N27" s="17"/>
      <c r="O27" s="18" t="s">
        <v>65</v>
      </c>
      <c r="P27" s="18" t="s">
        <v>66</v>
      </c>
    </row>
    <row r="28" spans="1:16" ht="12.75" customHeight="1" thickBot="1" x14ac:dyDescent="0.25">
      <c r="A28" s="3" t="str">
        <f t="shared" si="0"/>
        <v> AHSB 7.3.197 </v>
      </c>
      <c r="B28" s="1" t="str">
        <f t="shared" si="1"/>
        <v>I</v>
      </c>
      <c r="C28" s="3">
        <f t="shared" si="2"/>
        <v>34775.375</v>
      </c>
      <c r="D28" s="2" t="str">
        <f t="shared" si="3"/>
        <v>vis</v>
      </c>
      <c r="E28" s="15">
        <f>VLOOKUP(C28,Active!C$21:E$973,3,FALSE)</f>
        <v>2594.9905766918969</v>
      </c>
      <c r="F28" s="1" t="s">
        <v>58</v>
      </c>
      <c r="G28" s="2" t="str">
        <f t="shared" si="4"/>
        <v>34775.375</v>
      </c>
      <c r="H28" s="3">
        <f t="shared" si="5"/>
        <v>2595</v>
      </c>
      <c r="I28" s="16" t="s">
        <v>94</v>
      </c>
      <c r="J28" s="17" t="s">
        <v>95</v>
      </c>
      <c r="K28" s="16">
        <v>2595</v>
      </c>
      <c r="L28" s="16" t="s">
        <v>96</v>
      </c>
      <c r="M28" s="17" t="s">
        <v>64</v>
      </c>
      <c r="N28" s="17"/>
      <c r="O28" s="18" t="s">
        <v>65</v>
      </c>
      <c r="P28" s="18" t="s">
        <v>66</v>
      </c>
    </row>
    <row r="29" spans="1:16" ht="12.75" customHeight="1" thickBot="1" x14ac:dyDescent="0.25">
      <c r="A29" s="3" t="str">
        <f t="shared" si="0"/>
        <v> AHSB 7.3.197 </v>
      </c>
      <c r="B29" s="1" t="str">
        <f t="shared" si="1"/>
        <v>I</v>
      </c>
      <c r="C29" s="3">
        <f t="shared" si="2"/>
        <v>34811.410000000003</v>
      </c>
      <c r="D29" s="2" t="str">
        <f t="shared" si="3"/>
        <v>vis</v>
      </c>
      <c r="E29" s="15">
        <f>VLOOKUP(C29,Active!C$21:E$973,3,FALSE)</f>
        <v>2626.9816179574577</v>
      </c>
      <c r="F29" s="1" t="s">
        <v>58</v>
      </c>
      <c r="G29" s="2" t="str">
        <f t="shared" si="4"/>
        <v>34811.410</v>
      </c>
      <c r="H29" s="3">
        <f t="shared" si="5"/>
        <v>2627</v>
      </c>
      <c r="I29" s="16" t="s">
        <v>97</v>
      </c>
      <c r="J29" s="17" t="s">
        <v>98</v>
      </c>
      <c r="K29" s="16">
        <v>2627</v>
      </c>
      <c r="L29" s="16" t="s">
        <v>99</v>
      </c>
      <c r="M29" s="17" t="s">
        <v>64</v>
      </c>
      <c r="N29" s="17"/>
      <c r="O29" s="18" t="s">
        <v>65</v>
      </c>
      <c r="P29" s="18" t="s">
        <v>66</v>
      </c>
    </row>
    <row r="30" spans="1:16" ht="12.75" customHeight="1" thickBot="1" x14ac:dyDescent="0.25">
      <c r="A30" s="3" t="str">
        <f t="shared" si="0"/>
        <v> AHSB 7.3.197 </v>
      </c>
      <c r="B30" s="1" t="str">
        <f t="shared" si="1"/>
        <v>I</v>
      </c>
      <c r="C30" s="3">
        <f t="shared" si="2"/>
        <v>35131.345000000001</v>
      </c>
      <c r="D30" s="2" t="str">
        <f t="shared" si="3"/>
        <v>vis</v>
      </c>
      <c r="E30" s="15">
        <f>VLOOKUP(C30,Active!C$21:E$973,3,FALSE)</f>
        <v>2911.0125264435469</v>
      </c>
      <c r="F30" s="1" t="s">
        <v>58</v>
      </c>
      <c r="G30" s="2" t="str">
        <f t="shared" si="4"/>
        <v>35131.345</v>
      </c>
      <c r="H30" s="3">
        <f t="shared" si="5"/>
        <v>2911</v>
      </c>
      <c r="I30" s="16" t="s">
        <v>100</v>
      </c>
      <c r="J30" s="17" t="s">
        <v>101</v>
      </c>
      <c r="K30" s="16">
        <v>2911</v>
      </c>
      <c r="L30" s="16" t="s">
        <v>102</v>
      </c>
      <c r="M30" s="17" t="s">
        <v>64</v>
      </c>
      <c r="N30" s="17"/>
      <c r="O30" s="18" t="s">
        <v>65</v>
      </c>
      <c r="P30" s="18" t="s">
        <v>66</v>
      </c>
    </row>
    <row r="31" spans="1:16" ht="12.75" customHeight="1" thickBot="1" x14ac:dyDescent="0.25">
      <c r="A31" s="3" t="str">
        <f t="shared" si="0"/>
        <v> AHSB 7.3.197 </v>
      </c>
      <c r="B31" s="1" t="str">
        <f t="shared" si="1"/>
        <v>I</v>
      </c>
      <c r="C31" s="3">
        <f t="shared" si="2"/>
        <v>35184.28</v>
      </c>
      <c r="D31" s="2" t="str">
        <f t="shared" si="3"/>
        <v>vis</v>
      </c>
      <c r="E31" s="15">
        <f>VLOOKUP(C31,Active!C$21:E$973,3,FALSE)</f>
        <v>2958.0069976352279</v>
      </c>
      <c r="F31" s="1" t="s">
        <v>58</v>
      </c>
      <c r="G31" s="2" t="str">
        <f t="shared" si="4"/>
        <v>35184.280</v>
      </c>
      <c r="H31" s="3">
        <f t="shared" si="5"/>
        <v>2958</v>
      </c>
      <c r="I31" s="16" t="s">
        <v>103</v>
      </c>
      <c r="J31" s="17" t="s">
        <v>104</v>
      </c>
      <c r="K31" s="16">
        <v>2958</v>
      </c>
      <c r="L31" s="16" t="s">
        <v>105</v>
      </c>
      <c r="M31" s="17" t="s">
        <v>64</v>
      </c>
      <c r="N31" s="17"/>
      <c r="O31" s="18" t="s">
        <v>65</v>
      </c>
      <c r="P31" s="18" t="s">
        <v>66</v>
      </c>
    </row>
    <row r="32" spans="1:16" ht="12.75" customHeight="1" thickBot="1" x14ac:dyDescent="0.25">
      <c r="A32" s="3" t="str">
        <f t="shared" si="0"/>
        <v> AHSB 7.3.197 </v>
      </c>
      <c r="B32" s="1" t="str">
        <f t="shared" si="1"/>
        <v>I</v>
      </c>
      <c r="C32" s="3">
        <f t="shared" si="2"/>
        <v>35185.415000000001</v>
      </c>
      <c r="D32" s="2" t="str">
        <f t="shared" si="3"/>
        <v>vis</v>
      </c>
      <c r="E32" s="15">
        <f>VLOOKUP(C32,Active!C$21:E$973,3,FALSE)</f>
        <v>2959.0146244379607</v>
      </c>
      <c r="F32" s="1" t="s">
        <v>58</v>
      </c>
      <c r="G32" s="2" t="str">
        <f t="shared" si="4"/>
        <v>35185.415</v>
      </c>
      <c r="H32" s="3">
        <f t="shared" si="5"/>
        <v>2959</v>
      </c>
      <c r="I32" s="16" t="s">
        <v>106</v>
      </c>
      <c r="J32" s="17" t="s">
        <v>107</v>
      </c>
      <c r="K32" s="16">
        <v>2959</v>
      </c>
      <c r="L32" s="16" t="s">
        <v>108</v>
      </c>
      <c r="M32" s="17" t="s">
        <v>64</v>
      </c>
      <c r="N32" s="17"/>
      <c r="O32" s="18" t="s">
        <v>65</v>
      </c>
      <c r="P32" s="18" t="s">
        <v>66</v>
      </c>
    </row>
    <row r="33" spans="1:16" ht="12.75" customHeight="1" thickBot="1" x14ac:dyDescent="0.25">
      <c r="A33" s="3" t="str">
        <f t="shared" si="0"/>
        <v>BAVM 56 </v>
      </c>
      <c r="B33" s="1" t="str">
        <f t="shared" si="1"/>
        <v>I</v>
      </c>
      <c r="C33" s="3">
        <f t="shared" si="2"/>
        <v>47849.523000000001</v>
      </c>
      <c r="D33" s="2" t="str">
        <f t="shared" si="3"/>
        <v>vis</v>
      </c>
      <c r="E33" s="15">
        <f>VLOOKUP(C33,Active!C$21:E$973,3,FALSE)</f>
        <v>14201.917402833484</v>
      </c>
      <c r="F33" s="1" t="s">
        <v>58</v>
      </c>
      <c r="G33" s="2" t="str">
        <f t="shared" si="4"/>
        <v>47849.523</v>
      </c>
      <c r="H33" s="3">
        <f t="shared" si="5"/>
        <v>14202</v>
      </c>
      <c r="I33" s="16" t="s">
        <v>109</v>
      </c>
      <c r="J33" s="17" t="s">
        <v>110</v>
      </c>
      <c r="K33" s="16">
        <v>14202</v>
      </c>
      <c r="L33" s="16" t="s">
        <v>111</v>
      </c>
      <c r="M33" s="17" t="s">
        <v>60</v>
      </c>
      <c r="N33" s="17"/>
      <c r="O33" s="18" t="s">
        <v>112</v>
      </c>
      <c r="P33" s="19" t="s">
        <v>113</v>
      </c>
    </row>
    <row r="34" spans="1:16" ht="12.75" customHeight="1" thickBot="1" x14ac:dyDescent="0.25">
      <c r="A34" s="3" t="str">
        <f t="shared" si="0"/>
        <v>BAVM 56 </v>
      </c>
      <c r="B34" s="1" t="str">
        <f t="shared" si="1"/>
        <v>I</v>
      </c>
      <c r="C34" s="3">
        <f t="shared" si="2"/>
        <v>47928.413999999997</v>
      </c>
      <c r="D34" s="2" t="str">
        <f t="shared" si="3"/>
        <v>vis</v>
      </c>
      <c r="E34" s="15">
        <f>VLOOKUP(C34,Active!C$21:E$973,3,FALSE)</f>
        <v>14271.955011727086</v>
      </c>
      <c r="F34" s="1" t="s">
        <v>58</v>
      </c>
      <c r="G34" s="2" t="str">
        <f t="shared" si="4"/>
        <v>47928.414</v>
      </c>
      <c r="H34" s="3">
        <f t="shared" si="5"/>
        <v>14272</v>
      </c>
      <c r="I34" s="16" t="s">
        <v>114</v>
      </c>
      <c r="J34" s="17" t="s">
        <v>115</v>
      </c>
      <c r="K34" s="16">
        <v>14272</v>
      </c>
      <c r="L34" s="16" t="s">
        <v>116</v>
      </c>
      <c r="M34" s="17" t="s">
        <v>60</v>
      </c>
      <c r="N34" s="17"/>
      <c r="O34" s="18" t="s">
        <v>112</v>
      </c>
      <c r="P34" s="19" t="s">
        <v>113</v>
      </c>
    </row>
    <row r="35" spans="1:16" ht="12.75" customHeight="1" thickBot="1" x14ac:dyDescent="0.25">
      <c r="A35" s="3" t="str">
        <f t="shared" si="0"/>
        <v>BAVM 59 </v>
      </c>
      <c r="B35" s="1" t="str">
        <f t="shared" si="1"/>
        <v>I</v>
      </c>
      <c r="C35" s="3">
        <f t="shared" si="2"/>
        <v>48232.523000000001</v>
      </c>
      <c r="D35" s="2" t="str">
        <f t="shared" si="3"/>
        <v>vis</v>
      </c>
      <c r="E35" s="15">
        <f>VLOOKUP(C35,Active!C$21:E$973,3,FALSE)</f>
        <v>14541.935962697746</v>
      </c>
      <c r="F35" s="1" t="s">
        <v>58</v>
      </c>
      <c r="G35" s="2" t="str">
        <f t="shared" si="4"/>
        <v>48232.523</v>
      </c>
      <c r="H35" s="3">
        <f t="shared" si="5"/>
        <v>14542</v>
      </c>
      <c r="I35" s="16" t="s">
        <v>117</v>
      </c>
      <c r="J35" s="17" t="s">
        <v>118</v>
      </c>
      <c r="K35" s="16">
        <v>14542</v>
      </c>
      <c r="L35" s="16" t="s">
        <v>119</v>
      </c>
      <c r="M35" s="17" t="s">
        <v>60</v>
      </c>
      <c r="N35" s="17"/>
      <c r="O35" s="18" t="s">
        <v>112</v>
      </c>
      <c r="P35" s="19" t="s">
        <v>120</v>
      </c>
    </row>
    <row r="36" spans="1:16" x14ac:dyDescent="0.2">
      <c r="B36" s="1"/>
      <c r="F36" s="1"/>
    </row>
    <row r="37" spans="1:16" x14ac:dyDescent="0.2">
      <c r="B37" s="1"/>
      <c r="F37" s="1"/>
    </row>
    <row r="38" spans="1:16" x14ac:dyDescent="0.2">
      <c r="B38" s="1"/>
      <c r="F38" s="1"/>
    </row>
    <row r="39" spans="1:16" x14ac:dyDescent="0.2">
      <c r="B39" s="1"/>
      <c r="F39" s="1"/>
    </row>
    <row r="40" spans="1:16" x14ac:dyDescent="0.2">
      <c r="B40" s="1"/>
      <c r="F40" s="1"/>
    </row>
    <row r="41" spans="1:16" x14ac:dyDescent="0.2">
      <c r="B41" s="1"/>
      <c r="F41" s="1"/>
    </row>
    <row r="42" spans="1:16" x14ac:dyDescent="0.2">
      <c r="B42" s="1"/>
      <c r="F42" s="1"/>
    </row>
    <row r="43" spans="1:16" x14ac:dyDescent="0.2">
      <c r="B43" s="1"/>
      <c r="F43" s="1"/>
    </row>
    <row r="44" spans="1:16" x14ac:dyDescent="0.2">
      <c r="B44" s="1"/>
      <c r="F44" s="1"/>
    </row>
    <row r="45" spans="1:16" x14ac:dyDescent="0.2">
      <c r="B45" s="1"/>
      <c r="F45" s="1"/>
    </row>
    <row r="46" spans="1:16" x14ac:dyDescent="0.2">
      <c r="B46" s="1"/>
      <c r="F46" s="1"/>
    </row>
    <row r="47" spans="1:16" x14ac:dyDescent="0.2">
      <c r="B47" s="1"/>
      <c r="F47" s="1"/>
    </row>
    <row r="48" spans="1:1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</sheetData>
  <phoneticPr fontId="6" type="noConversion"/>
  <hyperlinks>
    <hyperlink ref="P33" r:id="rId1" display="http://www.bav-astro.de/sfs/BAVM_link.php?BAVMnr=56"/>
    <hyperlink ref="P34" r:id="rId2" display="http://www.bav-astro.de/sfs/BAVM_link.php?BAVMnr=56"/>
    <hyperlink ref="P35" r:id="rId3" display="http://www.bav-astro.de/sfs/BAVM_link.php?BAVMnr=59"/>
    <hyperlink ref="P11" r:id="rId4" display="http://var.astro.cz/oejv/issues/oejv0074.pdf"/>
    <hyperlink ref="P12" r:id="rId5" display="http://www.bav-astro.de/sfs/BAVM_link.php?BAVMnr=172"/>
    <hyperlink ref="P13" r:id="rId6" display="http://www.konkoly.hu/cgi-bin/IBVS?5690"/>
    <hyperlink ref="P14" r:id="rId7" display="http://www.konkoly.hu/cgi-bin/IBVS?5945"/>
    <hyperlink ref="P15" r:id="rId8" display="http://www.bav-astro.de/sfs/BAVM_link.php?BAVMnr=215"/>
    <hyperlink ref="P16" r:id="rId9" display="http://www.konkoly.hu/cgi-bin/IBVS?6033"/>
    <hyperlink ref="P17" r:id="rId10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2024-02-20T06:31:18Z</dcterms:modified>
</cp:coreProperties>
</file>