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3D2AEAA-C3B0-4BE4-BD89-46E1162E48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  <sheet name="B" sheetId="2" r:id="rId3"/>
  </sheets>
  <calcPr calcId="181029"/>
</workbook>
</file>

<file path=xl/calcChain.xml><?xml version="1.0" encoding="utf-8"?>
<calcChain xmlns="http://schemas.openxmlformats.org/spreadsheetml/2006/main">
  <c r="C7" i="1" l="1"/>
  <c r="E27" i="1"/>
  <c r="F27" i="1"/>
  <c r="C8" i="1"/>
  <c r="E47" i="1"/>
  <c r="F47" i="1"/>
  <c r="E28" i="1"/>
  <c r="F28" i="1"/>
  <c r="G28" i="1"/>
  <c r="L28" i="1"/>
  <c r="E21" i="1"/>
  <c r="F21" i="1"/>
  <c r="G11" i="1"/>
  <c r="F11" i="1"/>
  <c r="E33" i="1"/>
  <c r="F33" i="1"/>
  <c r="E35" i="1"/>
  <c r="F35" i="1"/>
  <c r="G35" i="1"/>
  <c r="I35" i="1"/>
  <c r="E41" i="1"/>
  <c r="F41" i="1"/>
  <c r="E43" i="1"/>
  <c r="F43" i="1"/>
  <c r="G43" i="1"/>
  <c r="I43" i="1"/>
  <c r="E52" i="1"/>
  <c r="F52" i="1"/>
  <c r="E54" i="1"/>
  <c r="F54" i="1"/>
  <c r="G54" i="1"/>
  <c r="I54" i="1"/>
  <c r="Q21" i="1"/>
  <c r="Q22" i="1"/>
  <c r="Q23" i="1"/>
  <c r="Q25" i="1"/>
  <c r="Q26" i="1"/>
  <c r="Q27" i="1"/>
  <c r="Q28" i="1"/>
  <c r="Q47" i="1"/>
  <c r="Q49" i="1"/>
  <c r="Q50" i="1"/>
  <c r="G29" i="3"/>
  <c r="C29" i="3"/>
  <c r="G28" i="3"/>
  <c r="C28" i="3"/>
  <c r="G27" i="3"/>
  <c r="C27" i="3"/>
  <c r="G26" i="3"/>
  <c r="C26" i="3"/>
  <c r="G25" i="3"/>
  <c r="C25" i="3"/>
  <c r="G24" i="3"/>
  <c r="C24" i="3"/>
  <c r="G45" i="3"/>
  <c r="C45" i="3"/>
  <c r="G44" i="3"/>
  <c r="C44" i="3"/>
  <c r="G23" i="3"/>
  <c r="C23" i="3"/>
  <c r="G43" i="3"/>
  <c r="C4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42" i="3"/>
  <c r="C42" i="3"/>
  <c r="G41" i="3"/>
  <c r="C41" i="3"/>
  <c r="G40" i="3"/>
  <c r="C40" i="3"/>
  <c r="G39" i="3"/>
  <c r="C39" i="3"/>
  <c r="G14" i="3"/>
  <c r="C14" i="3"/>
  <c r="G13" i="3"/>
  <c r="C13" i="3"/>
  <c r="G12" i="3"/>
  <c r="C12" i="3"/>
  <c r="G38" i="3"/>
  <c r="C38" i="3"/>
  <c r="G37" i="3"/>
  <c r="C37" i="3"/>
  <c r="G11" i="3"/>
  <c r="C11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E30" i="3"/>
  <c r="Q56" i="1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45" i="3"/>
  <c r="B45" i="3"/>
  <c r="D45" i="3"/>
  <c r="A45" i="3"/>
  <c r="H44" i="3"/>
  <c r="B44" i="3"/>
  <c r="D44" i="3"/>
  <c r="A44" i="3"/>
  <c r="H23" i="3"/>
  <c r="B23" i="3"/>
  <c r="D23" i="3"/>
  <c r="A23" i="3"/>
  <c r="H43" i="3"/>
  <c r="B43" i="3"/>
  <c r="D43" i="3"/>
  <c r="A4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14" i="3"/>
  <c r="B14" i="3"/>
  <c r="D14" i="3"/>
  <c r="A14" i="3"/>
  <c r="H13" i="3"/>
  <c r="B13" i="3"/>
  <c r="D13" i="3"/>
  <c r="A13" i="3"/>
  <c r="H12" i="3"/>
  <c r="B12" i="3"/>
  <c r="D12" i="3"/>
  <c r="A12" i="3"/>
  <c r="H38" i="3"/>
  <c r="B38" i="3"/>
  <c r="D38" i="3"/>
  <c r="A38" i="3"/>
  <c r="H37" i="3"/>
  <c r="B37" i="3"/>
  <c r="D37" i="3"/>
  <c r="A37" i="3"/>
  <c r="H11" i="3"/>
  <c r="B11" i="3"/>
  <c r="D11" i="3"/>
  <c r="A11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Q55" i="1"/>
  <c r="Q51" i="1"/>
  <c r="Q52" i="1"/>
  <c r="E14" i="1"/>
  <c r="E15" i="1" s="1"/>
  <c r="Q54" i="1"/>
  <c r="Q53" i="1"/>
  <c r="Q48" i="1"/>
  <c r="Q46" i="1"/>
  <c r="Q45" i="1"/>
  <c r="C7" i="2"/>
  <c r="C18" i="2"/>
  <c r="C19" i="2"/>
  <c r="C21" i="2"/>
  <c r="E21" i="2"/>
  <c r="F21" i="2"/>
  <c r="Q21" i="2"/>
  <c r="E22" i="2"/>
  <c r="F22" i="2"/>
  <c r="G22" i="2"/>
  <c r="Q22" i="2"/>
  <c r="E23" i="2"/>
  <c r="F23" i="2"/>
  <c r="G23" i="2"/>
  <c r="I23" i="2"/>
  <c r="Q23" i="2"/>
  <c r="E24" i="2"/>
  <c r="F24" i="2"/>
  <c r="G24" i="2"/>
  <c r="I24" i="2"/>
  <c r="Q24" i="2"/>
  <c r="E25" i="2"/>
  <c r="F25" i="2"/>
  <c r="G25" i="2"/>
  <c r="I25" i="2"/>
  <c r="Q25" i="2"/>
  <c r="E26" i="2"/>
  <c r="F26" i="2"/>
  <c r="G26" i="2"/>
  <c r="I26" i="2"/>
  <c r="Q26" i="2"/>
  <c r="E27" i="2"/>
  <c r="F27" i="2"/>
  <c r="G27" i="2"/>
  <c r="I27" i="2"/>
  <c r="Q27" i="2"/>
  <c r="E28" i="2"/>
  <c r="F28" i="2"/>
  <c r="G28" i="2"/>
  <c r="I28" i="2"/>
  <c r="Q28" i="2"/>
  <c r="E29" i="2"/>
  <c r="F29" i="2"/>
  <c r="G29" i="2"/>
  <c r="I29" i="2"/>
  <c r="Q29" i="2"/>
  <c r="E30" i="2"/>
  <c r="F30" i="2"/>
  <c r="G30" i="2"/>
  <c r="I30" i="2"/>
  <c r="Q30" i="2"/>
  <c r="E31" i="2"/>
  <c r="F31" i="2"/>
  <c r="G31" i="2"/>
  <c r="I31" i="2"/>
  <c r="Q31" i="2"/>
  <c r="E32" i="2"/>
  <c r="F32" i="2"/>
  <c r="G32" i="2"/>
  <c r="I32" i="2"/>
  <c r="Q32" i="2"/>
  <c r="E33" i="2"/>
  <c r="F33" i="2"/>
  <c r="G33" i="2"/>
  <c r="I33" i="2"/>
  <c r="Q33" i="2"/>
  <c r="E34" i="2"/>
  <c r="F34" i="2"/>
  <c r="G34" i="2"/>
  <c r="I34" i="2"/>
  <c r="Q34" i="2"/>
  <c r="E35" i="2"/>
  <c r="F35" i="2"/>
  <c r="G35" i="2"/>
  <c r="I35" i="2"/>
  <c r="Q35" i="2"/>
  <c r="E36" i="2"/>
  <c r="F36" i="2"/>
  <c r="G36" i="2"/>
  <c r="J36" i="2"/>
  <c r="Q36" i="2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C12" i="2"/>
  <c r="C16" i="2"/>
  <c r="D18" i="2"/>
  <c r="E35" i="3"/>
  <c r="E36" i="3"/>
  <c r="E21" i="3"/>
  <c r="E24" i="3"/>
  <c r="E14" i="3"/>
  <c r="E16" i="3"/>
  <c r="E11" i="3"/>
  <c r="E37" i="3"/>
  <c r="E40" i="3"/>
  <c r="E17" i="3"/>
  <c r="E27" i="3"/>
  <c r="I22" i="2"/>
  <c r="C11" i="2"/>
  <c r="E33" i="3"/>
  <c r="E41" i="3"/>
  <c r="E42" i="3"/>
  <c r="E44" i="3"/>
  <c r="E28" i="3"/>
  <c r="C24" i="1"/>
  <c r="E45" i="3"/>
  <c r="E46" i="1"/>
  <c r="F46" i="1"/>
  <c r="G40" i="1"/>
  <c r="I40" i="1"/>
  <c r="E38" i="1"/>
  <c r="F38" i="1"/>
  <c r="E30" i="1"/>
  <c r="F30" i="1"/>
  <c r="G30" i="1"/>
  <c r="I30" i="1"/>
  <c r="G47" i="1"/>
  <c r="L47" i="1"/>
  <c r="G21" i="1"/>
  <c r="E51" i="1"/>
  <c r="F51" i="1"/>
  <c r="G51" i="1"/>
  <c r="I51" i="1"/>
  <c r="E40" i="1"/>
  <c r="F40" i="1"/>
  <c r="G34" i="1"/>
  <c r="I34" i="1"/>
  <c r="E32" i="1"/>
  <c r="F32" i="1"/>
  <c r="G32" i="1"/>
  <c r="I32" i="1"/>
  <c r="G27" i="1"/>
  <c r="L27" i="1"/>
  <c r="E22" i="1"/>
  <c r="E56" i="1"/>
  <c r="F56" i="1"/>
  <c r="G56" i="1"/>
  <c r="I56" i="1"/>
  <c r="E45" i="1"/>
  <c r="F45" i="1"/>
  <c r="G45" i="1"/>
  <c r="I45" i="1"/>
  <c r="E37" i="1"/>
  <c r="F37" i="1"/>
  <c r="G37" i="1"/>
  <c r="I37" i="1"/>
  <c r="G31" i="1"/>
  <c r="I31" i="1"/>
  <c r="E29" i="1"/>
  <c r="F29" i="1"/>
  <c r="G29" i="1"/>
  <c r="I29" i="1"/>
  <c r="E23" i="1"/>
  <c r="F23" i="1"/>
  <c r="G23" i="1"/>
  <c r="L23" i="1"/>
  <c r="E49" i="1"/>
  <c r="F49" i="1"/>
  <c r="G49" i="1"/>
  <c r="L49" i="1"/>
  <c r="E53" i="1"/>
  <c r="F53" i="1"/>
  <c r="G53" i="1"/>
  <c r="I53" i="1"/>
  <c r="E42" i="1"/>
  <c r="F42" i="1"/>
  <c r="G42" i="1"/>
  <c r="I42" i="1"/>
  <c r="E34" i="1"/>
  <c r="F34" i="1"/>
  <c r="E25" i="1"/>
  <c r="F25" i="1"/>
  <c r="G25" i="1"/>
  <c r="L25" i="1"/>
  <c r="G52" i="1"/>
  <c r="I52" i="1"/>
  <c r="E48" i="1"/>
  <c r="F48" i="1"/>
  <c r="G48" i="1"/>
  <c r="I48" i="1"/>
  <c r="G41" i="1"/>
  <c r="I41" i="1"/>
  <c r="E39" i="1"/>
  <c r="F39" i="1"/>
  <c r="G39" i="1"/>
  <c r="I39" i="1"/>
  <c r="G33" i="1"/>
  <c r="I33" i="1"/>
  <c r="E31" i="1"/>
  <c r="F31" i="1"/>
  <c r="E26" i="1"/>
  <c r="F26" i="1"/>
  <c r="G26" i="1"/>
  <c r="L26" i="1"/>
  <c r="E50" i="1"/>
  <c r="F50" i="1"/>
  <c r="E55" i="1"/>
  <c r="F55" i="1"/>
  <c r="G55" i="1"/>
  <c r="I55" i="1"/>
  <c r="G46" i="1"/>
  <c r="I46" i="1"/>
  <c r="E44" i="1"/>
  <c r="F44" i="1"/>
  <c r="G44" i="1"/>
  <c r="I44" i="1"/>
  <c r="G38" i="1"/>
  <c r="I38" i="1"/>
  <c r="E36" i="1"/>
  <c r="F36" i="1"/>
  <c r="G36" i="1"/>
  <c r="I36" i="1"/>
  <c r="G50" i="1"/>
  <c r="L50" i="1"/>
  <c r="O26" i="2"/>
  <c r="O30" i="2"/>
  <c r="O34" i="2"/>
  <c r="O22" i="2"/>
  <c r="O21" i="2"/>
  <c r="O25" i="2"/>
  <c r="O33" i="2"/>
  <c r="O29" i="2"/>
  <c r="O23" i="2"/>
  <c r="O27" i="2"/>
  <c r="O31" i="2"/>
  <c r="O24" i="2"/>
  <c r="O32" i="2"/>
  <c r="O35" i="2"/>
  <c r="O36" i="2"/>
  <c r="O28" i="2"/>
  <c r="E20" i="3"/>
  <c r="E39" i="3"/>
  <c r="E13" i="3"/>
  <c r="E34" i="3"/>
  <c r="E23" i="3"/>
  <c r="E32" i="3"/>
  <c r="E25" i="3"/>
  <c r="E18" i="3"/>
  <c r="E29" i="3"/>
  <c r="F22" i="1"/>
  <c r="G22" i="1"/>
  <c r="E31" i="3"/>
  <c r="L21" i="1"/>
  <c r="C17" i="1"/>
  <c r="Q24" i="1"/>
  <c r="E38" i="3"/>
  <c r="E15" i="3"/>
  <c r="E43" i="3"/>
  <c r="E24" i="1"/>
  <c r="F24" i="1"/>
  <c r="E19" i="3"/>
  <c r="E26" i="3"/>
  <c r="E22" i="3"/>
  <c r="E12" i="3"/>
  <c r="L22" i="1"/>
  <c r="C12" i="1"/>
  <c r="C11" i="1"/>
  <c r="O47" i="1" l="1"/>
  <c r="O42" i="1"/>
  <c r="O54" i="1"/>
  <c r="O50" i="1"/>
  <c r="O30" i="1"/>
  <c r="O31" i="1"/>
  <c r="O29" i="1"/>
  <c r="O25" i="1"/>
  <c r="O53" i="1"/>
  <c r="O36" i="1"/>
  <c r="O39" i="1"/>
  <c r="O37" i="1"/>
  <c r="O51" i="1"/>
  <c r="O33" i="1"/>
  <c r="O38" i="1"/>
  <c r="O55" i="1"/>
  <c r="O40" i="1"/>
  <c r="O32" i="1"/>
  <c r="O46" i="1"/>
  <c r="O41" i="1"/>
  <c r="O44" i="1"/>
  <c r="O27" i="1"/>
  <c r="O26" i="1"/>
  <c r="O43" i="1"/>
  <c r="O23" i="1"/>
  <c r="O35" i="1"/>
  <c r="C15" i="1"/>
  <c r="O56" i="1"/>
  <c r="O48" i="1"/>
  <c r="O21" i="1"/>
  <c r="O28" i="1"/>
  <c r="O45" i="1"/>
  <c r="O34" i="1"/>
  <c r="O49" i="1"/>
  <c r="O22" i="1"/>
  <c r="O24" i="1"/>
  <c r="O52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<sst xmlns="http://schemas.openxmlformats.org/spreadsheetml/2006/main" count="481" uniqueCount="247">
  <si>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</si>
  <si>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</si>
  <si>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</si>
  <si>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</si>
  <si>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</si>
  <si>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</si>
  <si>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</si>
  <si>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</si>
  <si>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</si>
  <si>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</si>
  <si>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</si>
  <si>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</si>
  <si>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</si>
  <si>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</si>
  <si>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</si>
  <si>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</si>
  <si>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</si>
  <si>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</si>
  <si>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</si>
  <si>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</si>
  <si>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</si>
  <si>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</si>
  <si>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</si>
  <si>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</si>
  <si>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</si>
  <si>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</si>
  <si>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</si>
  <si>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</si>
  <si>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</si>
  <si>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</si>
  <si>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V514 Mon</t>
  </si>
  <si>
    <t>EW</t>
  </si>
  <si>
    <t>IBVS 5507</t>
  </si>
  <si>
    <t>II</t>
  </si>
  <si>
    <t>I</t>
  </si>
  <si>
    <t>IBVS 4711</t>
  </si>
  <si>
    <t>IBVS 5296</t>
  </si>
  <si>
    <t>IBVS 5378</t>
  </si>
  <si>
    <t>IBVS 5603</t>
  </si>
  <si>
    <t>IBVS 5643</t>
  </si>
  <si>
    <t>IBVS</t>
  </si>
  <si>
    <t>RHN 2005</t>
  </si>
  <si>
    <t>Nelson</t>
  </si>
  <si>
    <t>IBVS 5672</t>
  </si>
  <si>
    <t>IBVS 5677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</si>
  <si>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</si>
  <si>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</si>
  <si>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</si>
  <si>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</si>
  <si>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</si>
  <si>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</si>
  <si>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</si>
  <si>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</si>
  <si>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</si>
  <si>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Start of linear fit &gt;&gt;&gt;&gt;&gt;&gt;&gt;&gt;&gt;&gt;&gt;&gt;&gt;&gt;&gt;&gt;&gt;&gt;&gt;&gt;&gt;</t>
  </si>
  <si>
    <t>IBVS 5871</t>
  </si>
  <si>
    <t>IBVS 5894</t>
  </si>
  <si>
    <t>OEJV</t>
  </si>
  <si>
    <t>IBVS 5945</t>
  </si>
  <si>
    <t>Add cycle</t>
  </si>
  <si>
    <t>Old Cycle</t>
  </si>
  <si>
    <t>IBVS 5918</t>
  </si>
  <si>
    <t>IBVS 6048</t>
  </si>
  <si>
    <t>V0514 Mon / GSC 04800-00856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</si>
  <si>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</si>
  <si>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</si>
  <si>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</si>
  <si>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</si>
  <si>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</si>
  <si>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</si>
  <si>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</si>
  <si>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</si>
  <si>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</si>
  <si>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</si>
  <si>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</si>
  <si>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</si>
  <si>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2429691.323 </t>
  </si>
  <si>
    <t> 02.03.1940 19:45 </t>
  </si>
  <si>
    <t> -0.000 </t>
  </si>
  <si>
    <t> A.A.Wachmann </t>
  </si>
  <si>
    <t> AHSB 7.7.365 </t>
  </si>
  <si>
    <t>2430085.383 </t>
  </si>
  <si>
    <t> 31.03.1941 21:11 </t>
  </si>
  <si>
    <t> -0.002 </t>
  </si>
  <si>
    <t>2432939.401 </t>
  </si>
  <si>
    <t> 22.01.1949 21:37 </t>
  </si>
  <si>
    <t> -0.009 </t>
  </si>
  <si>
    <t>2433330.409 </t>
  </si>
  <si>
    <t> 17.02.1950 21:48 </t>
  </si>
  <si>
    <t> 0.003 </t>
  </si>
  <si>
    <t>2434748.360 </t>
  </si>
  <si>
    <t> 05.01.1954 20:38 </t>
  </si>
  <si>
    <t> -0.001 </t>
  </si>
  <si>
    <t>2435164.447 </t>
  </si>
  <si>
    <t> 25.02.1955 22:43 </t>
  </si>
  <si>
    <t> 0.007 </t>
  </si>
  <si>
    <t>2436983.423 </t>
  </si>
  <si>
    <t> 18.02.1960 22:09 </t>
  </si>
  <si>
    <t>2450863.328 </t>
  </si>
  <si>
    <t> 18.02.1998 19:52 </t>
  </si>
  <si>
    <t> -0.058 </t>
  </si>
  <si>
    <t>E </t>
  </si>
  <si>
    <t>o</t>
  </si>
  <si>
    <t> W.Kleikamp </t>
  </si>
  <si>
    <t>BAVM 117 </t>
  </si>
  <si>
    <t>2451128.6425 </t>
  </si>
  <si>
    <t> 11.11.1998 03:25 </t>
  </si>
  <si>
    <t> -0.0530 </t>
  </si>
  <si>
    <t>?</t>
  </si>
  <si>
    <t> Ogloza&amp;Zakrewski </t>
  </si>
  <si>
    <t>IBVS 5507 </t>
  </si>
  <si>
    <t>2451128.9232 </t>
  </si>
  <si>
    <t> 11.11.1998 10:09 </t>
  </si>
  <si>
    <t> -0.0509 </t>
  </si>
  <si>
    <t>2451138.6780 </t>
  </si>
  <si>
    <t> 21.11.1998 04:16 </t>
  </si>
  <si>
    <t> -0.0502 </t>
  </si>
  <si>
    <t> W.Moschner </t>
  </si>
  <si>
    <t>2451139.5115 </t>
  </si>
  <si>
    <t> 22.11.1998 00:16 </t>
  </si>
  <si>
    <t> -0.0527 </t>
  </si>
  <si>
    <t>2451178.5267 </t>
  </si>
  <si>
    <t> 31.12.1998 00:38 </t>
  </si>
  <si>
    <t> -0.0536 </t>
  </si>
  <si>
    <t>-I</t>
  </si>
  <si>
    <t>2451213.9266 </t>
  </si>
  <si>
    <t> 04.02.1999 10:14 </t>
  </si>
  <si>
    <t>32085.5</t>
  </si>
  <si>
    <t> -0.0468 </t>
  </si>
  <si>
    <t>2451214.1997 </t>
  </si>
  <si>
    <t> 04.02.1999 16:47 </t>
  </si>
  <si>
    <t>32086</t>
  </si>
  <si>
    <t> -0.0524 </t>
  </si>
  <si>
    <t>2451501.5305 </t>
  </si>
  <si>
    <t> 19.11.1999 00:43 </t>
  </si>
  <si>
    <t>32601.5</t>
  </si>
  <si>
    <t> -0.0470 </t>
  </si>
  <si>
    <t> Ogloza&amp;Kakrewski </t>
  </si>
  <si>
    <t>2451501.8111 </t>
  </si>
  <si>
    <t> 19.11.1999 07:27 </t>
  </si>
  <si>
    <t>32602</t>
  </si>
  <si>
    <t> -0.0451 </t>
  </si>
  <si>
    <t>2451899.5002 </t>
  </si>
  <si>
    <t> 21.12.2000 00:00 </t>
  </si>
  <si>
    <t>33315.5</t>
  </si>
  <si>
    <t> -0.0411 </t>
  </si>
  <si>
    <t>BAVM 152 </t>
  </si>
  <si>
    <t>2452627.7337 </t>
  </si>
  <si>
    <t> 19.12.2002 05:36 </t>
  </si>
  <si>
    <t>34622</t>
  </si>
  <si>
    <t> -0.0144 </t>
  </si>
  <si>
    <t> S.Dvorak </t>
  </si>
  <si>
    <t>IBVS 5378 </t>
  </si>
  <si>
    <t>2452689.3259 </t>
  </si>
  <si>
    <t> 18.02.2003 19:49 </t>
  </si>
  <si>
    <t>34732.5</t>
  </si>
  <si>
    <t> -0.0118 </t>
  </si>
  <si>
    <t> Moschner&amp;Frank </t>
  </si>
  <si>
    <t>BAVM 172 </t>
  </si>
  <si>
    <t>2453082.5608 </t>
  </si>
  <si>
    <t> 18.03.2004 01:27 </t>
  </si>
  <si>
    <t>35438</t>
  </si>
  <si>
    <t> -0.0030 </t>
  </si>
  <si>
    <t>IBVS 5603 </t>
  </si>
  <si>
    <t>2453697.9158 </t>
  </si>
  <si>
    <t> 23.11.2005 09:58 </t>
  </si>
  <si>
    <t>36542</t>
  </si>
  <si>
    <t> 0.0130 </t>
  </si>
  <si>
    <t> R. Nelson </t>
  </si>
  <si>
    <t>IBVS 5672 </t>
  </si>
  <si>
    <t>2453706.8367 </t>
  </si>
  <si>
    <t> 02.12.2005 08:04 </t>
  </si>
  <si>
    <t>36558</t>
  </si>
  <si>
    <t> 0.0160 </t>
  </si>
  <si>
    <t> S. Dvorak </t>
  </si>
  <si>
    <t>IBVS 5677 </t>
  </si>
  <si>
    <t>2453780.4035 </t>
  </si>
  <si>
    <t> 13.02.2006 21:41 </t>
  </si>
  <si>
    <t>36690</t>
  </si>
  <si>
    <t> 0.0096 </t>
  </si>
  <si>
    <t>C </t>
  </si>
  <si>
    <t> Agerer </t>
  </si>
  <si>
    <t>BAVM 178 </t>
  </si>
  <si>
    <t>2454154.4178 </t>
  </si>
  <si>
    <t> 22.02.2007 22:01 </t>
  </si>
  <si>
    <t>37361</t>
  </si>
  <si>
    <t> 0.0271 </t>
  </si>
  <si>
    <t> F.Agerer </t>
  </si>
  <si>
    <t>BAVM 186 </t>
  </si>
  <si>
    <t>2454453.4562 </t>
  </si>
  <si>
    <t> 18.12.2007 22:56 </t>
  </si>
  <si>
    <t>37897.5</t>
  </si>
  <si>
    <t> 0.0353 </t>
  </si>
  <si>
    <t> Moschner &amp; Frank </t>
  </si>
  <si>
    <t>BAVM 203 </t>
  </si>
  <si>
    <t>2454811.8535 </t>
  </si>
  <si>
    <t> 11.12.2008 08:29 </t>
  </si>
  <si>
    <t>38540.5</t>
  </si>
  <si>
    <t> 0.0423 </t>
  </si>
  <si>
    <t> R.Diethelm </t>
  </si>
  <si>
    <t>IBVS 5871 </t>
  </si>
  <si>
    <t>2454815.4800 </t>
  </si>
  <si>
    <t> 14.12.2008 23:31 </t>
  </si>
  <si>
    <t>38547</t>
  </si>
  <si>
    <t> 0.0459 </t>
  </si>
  <si>
    <t>2454819.1035 </t>
  </si>
  <si>
    <t> 18.12.2008 14:29 </t>
  </si>
  <si>
    <t>38553.5</t>
  </si>
  <si>
    <t> 0.0464 </t>
  </si>
  <si>
    <t>Rc</t>
  </si>
  <si>
    <t> K.Nakajima </t>
  </si>
  <si>
    <t>VSB 48 </t>
  </si>
  <si>
    <t>2454840.5593 </t>
  </si>
  <si>
    <t> 09.01.2009 01:25 </t>
  </si>
  <si>
    <t>38592</t>
  </si>
  <si>
    <t> 0.0434 </t>
  </si>
  <si>
    <t>BAVM 209 </t>
  </si>
  <si>
    <t>2454841.4016 </t>
  </si>
  <si>
    <t> 09.01.2009 21:38 </t>
  </si>
  <si>
    <t>38593.5</t>
  </si>
  <si>
    <t> 0.0497 </t>
  </si>
  <si>
    <t>2454887.6627 </t>
  </si>
  <si>
    <t> 25.02.2009 03:54 </t>
  </si>
  <si>
    <t>38676.5</t>
  </si>
  <si>
    <t> 0.0489 </t>
  </si>
  <si>
    <t>IBVS 5894 </t>
  </si>
  <si>
    <t>2455259.7195 </t>
  </si>
  <si>
    <t> 04.03.2010 05:16 </t>
  </si>
  <si>
    <t>39344</t>
  </si>
  <si>
    <t> 0.0597 </t>
  </si>
  <si>
    <t>IBVS 5945 </t>
  </si>
  <si>
    <t>2455980.4254 </t>
  </si>
  <si>
    <t> 22.02.2012 22:12 </t>
  </si>
  <si>
    <t>40637</t>
  </si>
  <si>
    <t> 0.0833 </t>
  </si>
  <si>
    <t>BAVM 228 </t>
  </si>
  <si>
    <t>2457064.1096 </t>
  </si>
  <si>
    <t> 10.02.2015 14:37 </t>
  </si>
  <si>
    <t>42581</t>
  </si>
  <si>
    <t> 0.2358 </t>
  </si>
  <si>
    <t> W.Moschner &amp; P.Frank </t>
  </si>
  <si>
    <t>BAVM 241 (=IBVS 6157) </t>
  </si>
  <si>
    <t>IBVS 6157</t>
  </si>
  <si>
    <t>Cycle counts are unclear</t>
  </si>
  <si>
    <t>Nelson pers com</t>
  </si>
  <si>
    <t>vis?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</si>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</sst>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1" applyNumberFormat="0" applyFont="0" applyFill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>
      <alignment vertical="top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8" fillId="0" borderId="0" xfId="0" applyNumberFormat="1" applyFont="1" applyAlignment="1">
      <alignment horizontal="left" vertical="center" wrapText="1"/>
    </xf>
    <xf numFmtId="0" fontId="9" fillId="2" borderId="0" xfId="0" applyFont="1" applyFill="1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18" fillId="3" borderId="11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4" borderId="0" xfId="0" applyFont="1" applyFill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V0514 Mon - O-C Diagr.</a:t>
            </a:r>
          </a:p>
        </c:rich>
      </c:tx>
      <c:layout>
        <c:manualLayout>
          <c:xMode val="edge"/>
          <c:yMode val="edge"/>
          <c:x val="0.36366649733299466"/>
          <c:y val="4.2600418618558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906854902912253"/>
          <c:w val="0.81583263062322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Active!$H$21:$H$972</c:f>
              <c:numCache>
                <c:formatCode>General</c:formatCode>
                <c:ptCount val="95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C0-4F12-B4B7-F2869D1ACB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Active!$I$21:$I$972</c:f>
              <c:numCache>
                <c:formatCode>General</c:formatCode>
                <c:ptCount val="952"/>
                <c:pt idx="8">
                  <c:v>0.49910468000598485</c:v>
                </c:pt>
                <c:pt idx="9">
                  <c:v>0.50441844007582404</c:v>
                </c:pt>
                <c:pt idx="10">
                  <c:v>0.50643232007860206</c:v>
                </c:pt>
                <c:pt idx="11">
                  <c:v>0.50721812000119826</c:v>
                </c:pt>
                <c:pt idx="12">
                  <c:v>0.50465976000123192</c:v>
                </c:pt>
                <c:pt idx="13">
                  <c:v>0.50380296000366798</c:v>
                </c:pt>
                <c:pt idx="14">
                  <c:v>0.51056571988738142</c:v>
                </c:pt>
                <c:pt idx="15">
                  <c:v>0.50497960022767074</c:v>
                </c:pt>
                <c:pt idx="16">
                  <c:v>0.51038987987703877</c:v>
                </c:pt>
                <c:pt idx="17">
                  <c:v>0.51230376004969003</c:v>
                </c:pt>
                <c:pt idx="18">
                  <c:v>0.51631052000448108</c:v>
                </c:pt>
                <c:pt idx="19">
                  <c:v>0.54297896000207402</c:v>
                </c:pt>
                <c:pt idx="20">
                  <c:v>0.54554644000745611</c:v>
                </c:pt>
                <c:pt idx="21">
                  <c:v>0.55433112000173423</c:v>
                </c:pt>
                <c:pt idx="22">
                  <c:v>0.57037816000229213</c:v>
                </c:pt>
                <c:pt idx="23">
                  <c:v>0.57332232000044314</c:v>
                </c:pt>
                <c:pt idx="24">
                  <c:v>0.56698663999850396</c:v>
                </c:pt>
                <c:pt idx="25">
                  <c:v>0.58451360000617569</c:v>
                </c:pt>
                <c:pt idx="27">
                  <c:v>0.59965652000391856</c:v>
                </c:pt>
                <c:pt idx="30">
                  <c:v>0.60078616000100737</c:v>
                </c:pt>
                <c:pt idx="31">
                  <c:v>0.60702779999701306</c:v>
                </c:pt>
                <c:pt idx="32">
                  <c:v>0.60623188000317896</c:v>
                </c:pt>
                <c:pt idx="33">
                  <c:v>0.61706168000091566</c:v>
                </c:pt>
                <c:pt idx="34">
                  <c:v>0.64065536000271095</c:v>
                </c:pt>
                <c:pt idx="35">
                  <c:v>0.7932208000056562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C0-4F12-B4B7-F2869D1ACB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Active!$J$21:$J$972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C0-4F12-B4B7-F2869D1ACB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Active!$K$21:$K$972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C0-4F12-B4B7-F2869D1ACB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Active!$L$21:$L$972</c:f>
              <c:numCache>
                <c:formatCode>General</c:formatCode>
                <c:ptCount val="952"/>
                <c:pt idx="0">
                  <c:v>-4.5040000259177759E-5</c:v>
                </c:pt>
                <c:pt idx="1">
                  <c:v>-2.2187199974723626E-3</c:v>
                </c:pt>
                <c:pt idx="2">
                  <c:v>-8.7736400018911809E-3</c:v>
                </c:pt>
                <c:pt idx="4">
                  <c:v>2.599999999802094E-3</c:v>
                </c:pt>
                <c:pt idx="5">
                  <c:v>-1.3785600021947175E-3</c:v>
                </c:pt>
                <c:pt idx="6">
                  <c:v>7.2442800010321662E-3</c:v>
                </c:pt>
                <c:pt idx="7">
                  <c:v>-1.0609599994495511E-3</c:v>
                </c:pt>
                <c:pt idx="26">
                  <c:v>0.59270684000512119</c:v>
                </c:pt>
                <c:pt idx="28">
                  <c:v>0.6032369600070524</c:v>
                </c:pt>
                <c:pt idx="29">
                  <c:v>0.60381739999866113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C0-4F12-B4B7-F2869D1ACB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Active!$M$21:$M$972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C0-4F12-B4B7-F2869D1ACB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Active!$N$21:$N$972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C0-4F12-B4B7-F2869D1ACB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Active!$O$21:$O$972</c:f>
              <c:numCache>
                <c:formatCode>General</c:formatCode>
                <c:ptCount val="952"/>
                <c:pt idx="0">
                  <c:v>-9.5443455289683621E-2</c:v>
                </c:pt>
                <c:pt idx="1">
                  <c:v>-8.4414749577324463E-2</c:v>
                </c:pt>
                <c:pt idx="2">
                  <c:v>-4.5385294922678319E-3</c:v>
                </c:pt>
                <c:pt idx="3">
                  <c:v>6.404380065327564E-3</c:v>
                </c:pt>
                <c:pt idx="4">
                  <c:v>6.404380065327564E-3</c:v>
                </c:pt>
                <c:pt idx="5">
                  <c:v>4.6089001468781143E-2</c:v>
                </c:pt>
                <c:pt idx="6">
                  <c:v>5.7733879565352725E-2</c:v>
                </c:pt>
                <c:pt idx="7">
                  <c:v>0.10864219794199217</c:v>
                </c:pt>
                <c:pt idx="8">
                  <c:v>0.49708818846011299</c:v>
                </c:pt>
                <c:pt idx="9">
                  <c:v>0.50451345567239447</c:v>
                </c:pt>
                <c:pt idx="10">
                  <c:v>0.50452125532282754</c:v>
                </c:pt>
                <c:pt idx="11">
                  <c:v>0.50479424308798482</c:v>
                </c:pt>
                <c:pt idx="12">
                  <c:v>0.50481764203928403</c:v>
                </c:pt>
                <c:pt idx="13">
                  <c:v>0.50590959309991379</c:v>
                </c:pt>
                <c:pt idx="14">
                  <c:v>0.5069001487049134</c:v>
                </c:pt>
                <c:pt idx="15">
                  <c:v>0.50690794835534647</c:v>
                </c:pt>
                <c:pt idx="16">
                  <c:v>0.51494938795184031</c:v>
                </c:pt>
                <c:pt idx="17">
                  <c:v>0.51495718760227338</c:v>
                </c:pt>
                <c:pt idx="18">
                  <c:v>0.52608728877026256</c:v>
                </c:pt>
                <c:pt idx="19">
                  <c:v>0.54646777535187097</c:v>
                </c:pt>
                <c:pt idx="20">
                  <c:v>0.54819149809757928</c:v>
                </c:pt>
                <c:pt idx="21">
                  <c:v>0.5591968048586391</c:v>
                </c:pt>
                <c:pt idx="22">
                  <c:v>0.57641843301485474</c:v>
                </c:pt>
                <c:pt idx="23">
                  <c:v>0.57666802182871302</c:v>
                </c:pt>
                <c:pt idx="24">
                  <c:v>0.57872712954304317</c:v>
                </c:pt>
                <c:pt idx="25">
                  <c:v>0.58919426042422129</c:v>
                </c:pt>
                <c:pt idx="26">
                  <c:v>0.59756328533890413</c:v>
                </c:pt>
                <c:pt idx="27">
                  <c:v>0.60759363579583048</c:v>
                </c:pt>
                <c:pt idx="28">
                  <c:v>0.6076950312514604</c:v>
                </c:pt>
                <c:pt idx="29">
                  <c:v>0.60779642670709033</c:v>
                </c:pt>
                <c:pt idx="30">
                  <c:v>0.6083969997904366</c:v>
                </c:pt>
                <c:pt idx="31">
                  <c:v>0.60842039874173581</c:v>
                </c:pt>
                <c:pt idx="32">
                  <c:v>0.6097151407136252</c:v>
                </c:pt>
                <c:pt idx="33">
                  <c:v>0.62012767404177183</c:v>
                </c:pt>
                <c:pt idx="34">
                  <c:v>0.64029757006168753</c:v>
                </c:pt>
                <c:pt idx="35">
                  <c:v>0.67062261094545872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C0-4F12-B4B7-F2869D1AC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359136"/>
        <c:axId val="1"/>
      </c:scatterChart>
      <c:valAx>
        <c:axId val="599359136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4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359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85800482532574"/>
          <c:y val="0.91925596256989606"/>
          <c:w val="0.778675961142983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V0514 Mon - O-C Diagr.</a:t>
            </a:r>
          </a:p>
        </c:rich>
      </c:tx>
      <c:layout>
        <c:manualLayout>
          <c:xMode val="edge"/>
          <c:yMode val="edge"/>
          <c:x val="0.3612903225806451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860681114551083"/>
          <c:w val="0.81612903225806455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Active!$H$21:$H$972</c:f>
              <c:numCache>
                <c:formatCode>General</c:formatCode>
                <c:ptCount val="95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66-462D-B8D1-8C35A9F627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Active!$I$21:$I$972</c:f>
              <c:numCache>
                <c:formatCode>General</c:formatCode>
                <c:ptCount val="952"/>
                <c:pt idx="8">
                  <c:v>0.49910468000598485</c:v>
                </c:pt>
                <c:pt idx="9">
                  <c:v>0.50441844007582404</c:v>
                </c:pt>
                <c:pt idx="10">
                  <c:v>0.50643232007860206</c:v>
                </c:pt>
                <c:pt idx="11">
                  <c:v>0.50721812000119826</c:v>
                </c:pt>
                <c:pt idx="12">
                  <c:v>0.50465976000123192</c:v>
                </c:pt>
                <c:pt idx="13">
                  <c:v>0.50380296000366798</c:v>
                </c:pt>
                <c:pt idx="14">
                  <c:v>0.51056571988738142</c:v>
                </c:pt>
                <c:pt idx="15">
                  <c:v>0.50497960022767074</c:v>
                </c:pt>
                <c:pt idx="16">
                  <c:v>0.51038987987703877</c:v>
                </c:pt>
                <c:pt idx="17">
                  <c:v>0.51230376004969003</c:v>
                </c:pt>
                <c:pt idx="18">
                  <c:v>0.51631052000448108</c:v>
                </c:pt>
                <c:pt idx="19">
                  <c:v>0.54297896000207402</c:v>
                </c:pt>
                <c:pt idx="20">
                  <c:v>0.54554644000745611</c:v>
                </c:pt>
                <c:pt idx="21">
                  <c:v>0.55433112000173423</c:v>
                </c:pt>
                <c:pt idx="22">
                  <c:v>0.57037816000229213</c:v>
                </c:pt>
                <c:pt idx="23">
                  <c:v>0.57332232000044314</c:v>
                </c:pt>
                <c:pt idx="24">
                  <c:v>0.56698663999850396</c:v>
                </c:pt>
                <c:pt idx="25">
                  <c:v>0.58451360000617569</c:v>
                </c:pt>
                <c:pt idx="27">
                  <c:v>0.59965652000391856</c:v>
                </c:pt>
                <c:pt idx="30">
                  <c:v>0.60078616000100737</c:v>
                </c:pt>
                <c:pt idx="31">
                  <c:v>0.60702779999701306</c:v>
                </c:pt>
                <c:pt idx="32">
                  <c:v>0.60623188000317896</c:v>
                </c:pt>
                <c:pt idx="33">
                  <c:v>0.61706168000091566</c:v>
                </c:pt>
                <c:pt idx="34">
                  <c:v>0.64065536000271095</c:v>
                </c:pt>
                <c:pt idx="35">
                  <c:v>0.7932208000056562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66-462D-B8D1-8C35A9F627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Active!$J$21:$J$972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66-462D-B8D1-8C35A9F627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Active!$K$21:$K$972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66-462D-B8D1-8C35A9F627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Active!$L$21:$L$972</c:f>
              <c:numCache>
                <c:formatCode>General</c:formatCode>
                <c:ptCount val="952"/>
                <c:pt idx="0">
                  <c:v>-4.5040000259177759E-5</c:v>
                </c:pt>
                <c:pt idx="1">
                  <c:v>-2.2187199974723626E-3</c:v>
                </c:pt>
                <c:pt idx="2">
                  <c:v>-8.7736400018911809E-3</c:v>
                </c:pt>
                <c:pt idx="4">
                  <c:v>2.599999999802094E-3</c:v>
                </c:pt>
                <c:pt idx="5">
                  <c:v>-1.3785600021947175E-3</c:v>
                </c:pt>
                <c:pt idx="6">
                  <c:v>7.2442800010321662E-3</c:v>
                </c:pt>
                <c:pt idx="7">
                  <c:v>-1.0609599994495511E-3</c:v>
                </c:pt>
                <c:pt idx="26">
                  <c:v>0.59270684000512119</c:v>
                </c:pt>
                <c:pt idx="28">
                  <c:v>0.6032369600070524</c:v>
                </c:pt>
                <c:pt idx="29">
                  <c:v>0.60381739999866113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66-462D-B8D1-8C35A9F627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Active!$M$21:$M$972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66-462D-B8D1-8C35A9F627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3">
                    <c:v>0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8.9999999999999998E-4</c:v>
                  </c:pt>
                  <c:pt idx="12">
                    <c:v>5.0000000000000001E-4</c:v>
                  </c:pt>
                  <c:pt idx="13">
                    <c:v>8.0000000000000004E-4</c:v>
                  </c:pt>
                  <c:pt idx="14">
                    <c:v>4.0000000000000002E-4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1.2999999999999999E-3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1">
                    <c:v>8.0000000000000004E-4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4.1000000000000003E-3</c:v>
                  </c:pt>
                  <c:pt idx="25">
                    <c:v>3.0999999999999999E-3</c:v>
                  </c:pt>
                  <c:pt idx="27">
                    <c:v>5.0000000000000001E-4</c:v>
                  </c:pt>
                  <c:pt idx="30">
                    <c:v>2.2000000000000001E-3</c:v>
                  </c:pt>
                  <c:pt idx="31">
                    <c:v>1.5E-3</c:v>
                  </c:pt>
                  <c:pt idx="32">
                    <c:v>5.0000000000000001E-4</c:v>
                  </c:pt>
                  <c:pt idx="33">
                    <c:v>2.0000000000000001E-4</c:v>
                  </c:pt>
                  <c:pt idx="34">
                    <c:v>1.6999999999999999E-3</c:v>
                  </c:pt>
                  <c:pt idx="3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Active!$N$21:$N$972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66-462D-B8D1-8C35A9F627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-6529</c:v>
                </c:pt>
                <c:pt idx="1">
                  <c:v>-5822</c:v>
                </c:pt>
                <c:pt idx="2">
                  <c:v>-701.5</c:v>
                </c:pt>
                <c:pt idx="3">
                  <c:v>0</c:v>
                </c:pt>
                <c:pt idx="4">
                  <c:v>0</c:v>
                </c:pt>
                <c:pt idx="5">
                  <c:v>2544</c:v>
                </c:pt>
                <c:pt idx="6">
                  <c:v>3290.5</c:v>
                </c:pt>
                <c:pt idx="7">
                  <c:v>6554</c:v>
                </c:pt>
                <c:pt idx="8">
                  <c:v>31455.5</c:v>
                </c:pt>
                <c:pt idx="9">
                  <c:v>31931.5</c:v>
                </c:pt>
                <c:pt idx="10">
                  <c:v>31932</c:v>
                </c:pt>
                <c:pt idx="11">
                  <c:v>31949.5</c:v>
                </c:pt>
                <c:pt idx="12">
                  <c:v>31951</c:v>
                </c:pt>
                <c:pt idx="13">
                  <c:v>32021</c:v>
                </c:pt>
                <c:pt idx="14">
                  <c:v>32084.5</c:v>
                </c:pt>
                <c:pt idx="15">
                  <c:v>32085</c:v>
                </c:pt>
                <c:pt idx="16">
                  <c:v>32600.5</c:v>
                </c:pt>
                <c:pt idx="17">
                  <c:v>32601</c:v>
                </c:pt>
                <c:pt idx="18">
                  <c:v>33314.5</c:v>
                </c:pt>
                <c:pt idx="19">
                  <c:v>34621</c:v>
                </c:pt>
                <c:pt idx="20">
                  <c:v>34731.5</c:v>
                </c:pt>
                <c:pt idx="21">
                  <c:v>35437</c:v>
                </c:pt>
                <c:pt idx="22">
                  <c:v>36541</c:v>
                </c:pt>
                <c:pt idx="23">
                  <c:v>36557</c:v>
                </c:pt>
                <c:pt idx="24">
                  <c:v>36689</c:v>
                </c:pt>
                <c:pt idx="25">
                  <c:v>37360</c:v>
                </c:pt>
                <c:pt idx="26">
                  <c:v>37896.5</c:v>
                </c:pt>
                <c:pt idx="27">
                  <c:v>38539.5</c:v>
                </c:pt>
                <c:pt idx="28">
                  <c:v>38546</c:v>
                </c:pt>
                <c:pt idx="29">
                  <c:v>38552.5</c:v>
                </c:pt>
                <c:pt idx="30">
                  <c:v>38591</c:v>
                </c:pt>
                <c:pt idx="31">
                  <c:v>38592.5</c:v>
                </c:pt>
                <c:pt idx="32">
                  <c:v>38675.5</c:v>
                </c:pt>
                <c:pt idx="33">
                  <c:v>39343</c:v>
                </c:pt>
                <c:pt idx="34">
                  <c:v>40636</c:v>
                </c:pt>
                <c:pt idx="35">
                  <c:v>42580</c:v>
                </c:pt>
              </c:numCache>
            </c:numRef>
          </c:xVal>
          <c:yVal>
            <c:numRef>
              <c:f>Active!$O$21:$O$972</c:f>
              <c:numCache>
                <c:formatCode>General</c:formatCode>
                <c:ptCount val="952"/>
                <c:pt idx="0">
                  <c:v>-9.5443455289683621E-2</c:v>
                </c:pt>
                <c:pt idx="1">
                  <c:v>-8.4414749577324463E-2</c:v>
                </c:pt>
                <c:pt idx="2">
                  <c:v>-4.5385294922678319E-3</c:v>
                </c:pt>
                <c:pt idx="3">
                  <c:v>6.404380065327564E-3</c:v>
                </c:pt>
                <c:pt idx="4">
                  <c:v>6.404380065327564E-3</c:v>
                </c:pt>
                <c:pt idx="5">
                  <c:v>4.6089001468781143E-2</c:v>
                </c:pt>
                <c:pt idx="6">
                  <c:v>5.7733879565352725E-2</c:v>
                </c:pt>
                <c:pt idx="7">
                  <c:v>0.10864219794199217</c:v>
                </c:pt>
                <c:pt idx="8">
                  <c:v>0.49708818846011299</c:v>
                </c:pt>
                <c:pt idx="9">
                  <c:v>0.50451345567239447</c:v>
                </c:pt>
                <c:pt idx="10">
                  <c:v>0.50452125532282754</c:v>
                </c:pt>
                <c:pt idx="11">
                  <c:v>0.50479424308798482</c:v>
                </c:pt>
                <c:pt idx="12">
                  <c:v>0.50481764203928403</c:v>
                </c:pt>
                <c:pt idx="13">
                  <c:v>0.50590959309991379</c:v>
                </c:pt>
                <c:pt idx="14">
                  <c:v>0.5069001487049134</c:v>
                </c:pt>
                <c:pt idx="15">
                  <c:v>0.50690794835534647</c:v>
                </c:pt>
                <c:pt idx="16">
                  <c:v>0.51494938795184031</c:v>
                </c:pt>
                <c:pt idx="17">
                  <c:v>0.51495718760227338</c:v>
                </c:pt>
                <c:pt idx="18">
                  <c:v>0.52608728877026256</c:v>
                </c:pt>
                <c:pt idx="19">
                  <c:v>0.54646777535187097</c:v>
                </c:pt>
                <c:pt idx="20">
                  <c:v>0.54819149809757928</c:v>
                </c:pt>
                <c:pt idx="21">
                  <c:v>0.5591968048586391</c:v>
                </c:pt>
                <c:pt idx="22">
                  <c:v>0.57641843301485474</c:v>
                </c:pt>
                <c:pt idx="23">
                  <c:v>0.57666802182871302</c:v>
                </c:pt>
                <c:pt idx="24">
                  <c:v>0.57872712954304317</c:v>
                </c:pt>
                <c:pt idx="25">
                  <c:v>0.58919426042422129</c:v>
                </c:pt>
                <c:pt idx="26">
                  <c:v>0.59756328533890413</c:v>
                </c:pt>
                <c:pt idx="27">
                  <c:v>0.60759363579583048</c:v>
                </c:pt>
                <c:pt idx="28">
                  <c:v>0.6076950312514604</c:v>
                </c:pt>
                <c:pt idx="29">
                  <c:v>0.60779642670709033</c:v>
                </c:pt>
                <c:pt idx="30">
                  <c:v>0.6083969997904366</c:v>
                </c:pt>
                <c:pt idx="31">
                  <c:v>0.60842039874173581</c:v>
                </c:pt>
                <c:pt idx="32">
                  <c:v>0.6097151407136252</c:v>
                </c:pt>
                <c:pt idx="33">
                  <c:v>0.62012767404177183</c:v>
                </c:pt>
                <c:pt idx="34">
                  <c:v>0.64029757006168753</c:v>
                </c:pt>
                <c:pt idx="35">
                  <c:v>0.67062261094545872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66-462D-B8D1-8C35A9F62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632416"/>
        <c:axId val="1"/>
      </c:scatterChart>
      <c:valAx>
        <c:axId val="806632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4193548387093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6632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"/>
          <c:y val="0.91950464396284826"/>
          <c:w val="0.77741935483870972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V514 Mon - O-C Diagr.</a:t>
            </a:r>
          </a:p>
        </c:rich>
      </c:tx>
      <c:layout>
        <c:manualLayout>
          <c:xMode val="edge"/>
          <c:yMode val="edge"/>
          <c:x val="0.361874329521410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906854902912253"/>
          <c:w val="0.806139569665325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3B-4469-91B7-6BCAF58BF03A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B!$I$21:$I$992</c:f>
              <c:numCache>
                <c:formatCode>General</c:formatCode>
                <c:ptCount val="972"/>
                <c:pt idx="1">
                  <c:v>0.61217911174026085</c:v>
                </c:pt>
                <c:pt idx="2">
                  <c:v>0.6107693264784757</c:v>
                </c:pt>
                <c:pt idx="3">
                  <c:v>0.61277614392747637</c:v>
                </c:pt>
                <c:pt idx="4">
                  <c:v>0.61331475468614371</c:v>
                </c:pt>
                <c:pt idx="5">
                  <c:v>0.61073520704667317</c:v>
                </c:pt>
                <c:pt idx="6">
                  <c:v>0.60888965037884191</c:v>
                </c:pt>
                <c:pt idx="7">
                  <c:v>0.61475546671863412</c:v>
                </c:pt>
                <c:pt idx="8">
                  <c:v>0.60916228451242205</c:v>
                </c:pt>
                <c:pt idx="9">
                  <c:v>0.60729107756196754</c:v>
                </c:pt>
                <c:pt idx="10">
                  <c:v>0.6091978951881174</c:v>
                </c:pt>
                <c:pt idx="11">
                  <c:v>0.60312639968469739</c:v>
                </c:pt>
                <c:pt idx="12">
                  <c:v>0.61134040274191648</c:v>
                </c:pt>
                <c:pt idx="13">
                  <c:v>0.61234705973038217</c:v>
                </c:pt>
                <c:pt idx="14">
                  <c:v>0.61116648503229953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3B-4469-91B7-6BCAF58BF03A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B!$J$21:$J$992</c:f>
              <c:numCache>
                <c:formatCode>General</c:formatCode>
                <c:ptCount val="972"/>
                <c:pt idx="15">
                  <c:v>0.61161941988393664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3B-4469-91B7-6BCAF58BF03A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3B-4469-91B7-6BCAF58BF03A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3B-4469-91B7-6BCAF58BF03A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3B-4469-91B7-6BCAF58BF03A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3B-4469-91B7-6BCAF58BF03A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B!$O$21:$O$992</c:f>
              <c:numCache>
                <c:formatCode>General</c:formatCode>
                <c:ptCount val="972"/>
                <c:pt idx="0">
                  <c:v>0.61057804572976926</c:v>
                </c:pt>
                <c:pt idx="1">
                  <c:v>0.61057804568948304</c:v>
                </c:pt>
                <c:pt idx="2">
                  <c:v>0.61057804568887331</c:v>
                </c:pt>
                <c:pt idx="3">
                  <c:v>0.61057804568887275</c:v>
                </c:pt>
                <c:pt idx="4">
                  <c:v>0.61057804568885032</c:v>
                </c:pt>
                <c:pt idx="5">
                  <c:v>0.61057804568884844</c:v>
                </c:pt>
                <c:pt idx="6">
                  <c:v>0.61057804568875873</c:v>
                </c:pt>
                <c:pt idx="7">
                  <c:v>0.61057804568867735</c:v>
                </c:pt>
                <c:pt idx="8">
                  <c:v>0.6105780456886768</c:v>
                </c:pt>
                <c:pt idx="9">
                  <c:v>0.61057804568801655</c:v>
                </c:pt>
                <c:pt idx="10">
                  <c:v>0.61057804568801588</c:v>
                </c:pt>
                <c:pt idx="11">
                  <c:v>0.61057804568710206</c:v>
                </c:pt>
                <c:pt idx="12">
                  <c:v>0.61057804568542873</c:v>
                </c:pt>
                <c:pt idx="13">
                  <c:v>0.61057804568528717</c:v>
                </c:pt>
                <c:pt idx="14">
                  <c:v>0.61057804568438356</c:v>
                </c:pt>
                <c:pt idx="15">
                  <c:v>0.61057804568296958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3B-4469-91B7-6BCAF58BF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6038024"/>
        <c:axId val="1"/>
      </c:scatterChart>
      <c:valAx>
        <c:axId val="896038024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6038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1925596256989606"/>
          <c:w val="0.7560588367487989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V514 Mon - O-C Diagr.</a:t>
            </a:r>
          </a:p>
        </c:rich>
      </c:tx>
      <c:layout>
        <c:manualLayout>
          <c:xMode val="edge"/>
          <c:yMode val="edge"/>
          <c:x val="0.3612903225806451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9354838709677"/>
          <c:y val="0.14860681114551083"/>
          <c:w val="0.82580645161290323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F6-4EE8-87BB-D7498C96FB57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B!$I$21:$I$992</c:f>
              <c:numCache>
                <c:formatCode>General</c:formatCode>
                <c:ptCount val="972"/>
                <c:pt idx="1">
                  <c:v>0.61217911174026085</c:v>
                </c:pt>
                <c:pt idx="2">
                  <c:v>0.6107693264784757</c:v>
                </c:pt>
                <c:pt idx="3">
                  <c:v>0.61277614392747637</c:v>
                </c:pt>
                <c:pt idx="4">
                  <c:v>0.61331475468614371</c:v>
                </c:pt>
                <c:pt idx="5">
                  <c:v>0.61073520704667317</c:v>
                </c:pt>
                <c:pt idx="6">
                  <c:v>0.60888965037884191</c:v>
                </c:pt>
                <c:pt idx="7">
                  <c:v>0.61475546671863412</c:v>
                </c:pt>
                <c:pt idx="8">
                  <c:v>0.60916228451242205</c:v>
                </c:pt>
                <c:pt idx="9">
                  <c:v>0.60729107756196754</c:v>
                </c:pt>
                <c:pt idx="10">
                  <c:v>0.6091978951881174</c:v>
                </c:pt>
                <c:pt idx="11">
                  <c:v>0.60312639968469739</c:v>
                </c:pt>
                <c:pt idx="12">
                  <c:v>0.61134040274191648</c:v>
                </c:pt>
                <c:pt idx="13">
                  <c:v>0.61234705973038217</c:v>
                </c:pt>
                <c:pt idx="14">
                  <c:v>0.61116648503229953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F6-4EE8-87BB-D7498C96FB57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B!$J$21:$J$992</c:f>
              <c:numCache>
                <c:formatCode>General</c:formatCode>
                <c:ptCount val="972"/>
                <c:pt idx="15">
                  <c:v>0.61161941988393664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F6-4EE8-87BB-D7498C96FB57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F6-4EE8-87BB-D7498C96FB57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F6-4EE8-87BB-D7498C96FB57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F6-4EE8-87BB-D7498C96FB57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1.2999999999999999E-3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8.0000000000000004E-4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F6-4EE8-87BB-D7498C96FB57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31454.5</c:v>
                </c:pt>
                <c:pt idx="2">
                  <c:v>31930.5</c:v>
                </c:pt>
                <c:pt idx="3">
                  <c:v>31931</c:v>
                </c:pt>
                <c:pt idx="4">
                  <c:v>31948.5</c:v>
                </c:pt>
                <c:pt idx="5">
                  <c:v>31950</c:v>
                </c:pt>
                <c:pt idx="6">
                  <c:v>32020</c:v>
                </c:pt>
                <c:pt idx="7">
                  <c:v>32083.5</c:v>
                </c:pt>
                <c:pt idx="8">
                  <c:v>32084</c:v>
                </c:pt>
                <c:pt idx="9">
                  <c:v>32599.5</c:v>
                </c:pt>
                <c:pt idx="10">
                  <c:v>32600</c:v>
                </c:pt>
                <c:pt idx="11">
                  <c:v>33313.5</c:v>
                </c:pt>
                <c:pt idx="12">
                  <c:v>34620</c:v>
                </c:pt>
                <c:pt idx="13">
                  <c:v>34730.5</c:v>
                </c:pt>
                <c:pt idx="14">
                  <c:v>35436</c:v>
                </c:pt>
                <c:pt idx="15">
                  <c:v>36540</c:v>
                </c:pt>
              </c:numCache>
            </c:numRef>
          </c:xVal>
          <c:yVal>
            <c:numRef>
              <c:f>B!$O$21:$O$992</c:f>
              <c:numCache>
                <c:formatCode>General</c:formatCode>
                <c:ptCount val="972"/>
                <c:pt idx="0">
                  <c:v>0.61057804572976926</c:v>
                </c:pt>
                <c:pt idx="1">
                  <c:v>0.61057804568948304</c:v>
                </c:pt>
                <c:pt idx="2">
                  <c:v>0.61057804568887331</c:v>
                </c:pt>
                <c:pt idx="3">
                  <c:v>0.61057804568887275</c:v>
                </c:pt>
                <c:pt idx="4">
                  <c:v>0.61057804568885032</c:v>
                </c:pt>
                <c:pt idx="5">
                  <c:v>0.61057804568884844</c:v>
                </c:pt>
                <c:pt idx="6">
                  <c:v>0.61057804568875873</c:v>
                </c:pt>
                <c:pt idx="7">
                  <c:v>0.61057804568867735</c:v>
                </c:pt>
                <c:pt idx="8">
                  <c:v>0.6105780456886768</c:v>
                </c:pt>
                <c:pt idx="9">
                  <c:v>0.61057804568801655</c:v>
                </c:pt>
                <c:pt idx="10">
                  <c:v>0.61057804568801588</c:v>
                </c:pt>
                <c:pt idx="11">
                  <c:v>0.61057804568710206</c:v>
                </c:pt>
                <c:pt idx="12">
                  <c:v>0.61057804568542873</c:v>
                </c:pt>
                <c:pt idx="13">
                  <c:v>0.61057804568528717</c:v>
                </c:pt>
                <c:pt idx="14">
                  <c:v>0.61057804568438356</c:v>
                </c:pt>
                <c:pt idx="15">
                  <c:v>0.61057804568296958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F6-4EE8-87BB-D7498C96F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550664"/>
        <c:axId val="1"/>
      </c:scatterChart>
      <c:valAx>
        <c:axId val="806550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032258064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6550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06451612903225"/>
          <c:y val="0.91950464396284826"/>
          <c:w val="0.75483870967741939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47625</xdr:rowOff>
    </xdr:from>
    <xdr:to>
      <xdr:col>17</xdr:col>
      <xdr:colOff>304800</xdr:colOff>
      <xdr:row>18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7752644-182B-58CB-CC21-640433C7E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504825</xdr:colOff>
      <xdr:row>0</xdr:row>
      <xdr:rowOff>0</xdr:rowOff>
    </xdr:from>
    <xdr:to>
      <xdr:col>27</xdr:col>
      <xdr:colOff>342900</xdr:colOff>
      <xdr:row>18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585D63C-1489-D76B-A108-3D382DB0B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D90C8475-0186-5B6E-FBF5-65E96AE7B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F53B632B-AEF1-EF47-54C3-9F8B9B8C3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07" TargetMode="External"/><Relationship Id="rId13" Type="http://schemas.openxmlformats.org/officeDocument/2006/relationships/hyperlink" Target="http://www.bav-astro.de/sfs/BAVM_link.php?BAVMnr=172" TargetMode="External"/><Relationship Id="rId18" Type="http://schemas.openxmlformats.org/officeDocument/2006/relationships/hyperlink" Target="http://www.bav-astro.de/sfs/BAVM_link.php?BAVMnr=186" TargetMode="External"/><Relationship Id="rId26" Type="http://schemas.openxmlformats.org/officeDocument/2006/relationships/hyperlink" Target="http://www.konkoly.hu/cgi-bin/IBVS?5945" TargetMode="External"/><Relationship Id="rId3" Type="http://schemas.openxmlformats.org/officeDocument/2006/relationships/hyperlink" Target="http://www.konkoly.hu/cgi-bin/IBVS?5507" TargetMode="External"/><Relationship Id="rId21" Type="http://schemas.openxmlformats.org/officeDocument/2006/relationships/hyperlink" Target="http://www.bav-astro.de/sfs/BAVM_link.php?BAVMnr=203" TargetMode="External"/><Relationship Id="rId7" Type="http://schemas.openxmlformats.org/officeDocument/2006/relationships/hyperlink" Target="http://www.konkoly.hu/cgi-bin/IBVS?5507" TargetMode="External"/><Relationship Id="rId12" Type="http://schemas.openxmlformats.org/officeDocument/2006/relationships/hyperlink" Target="http://www.konkoly.hu/cgi-bin/IBVS?5378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konkoly.hu/cgi-bin/IBVS?5507" TargetMode="External"/><Relationship Id="rId16" Type="http://schemas.openxmlformats.org/officeDocument/2006/relationships/hyperlink" Target="http://www.konkoly.hu/cgi-bin/IBVS?5677" TargetMode="External"/><Relationship Id="rId20" Type="http://schemas.openxmlformats.org/officeDocument/2006/relationships/hyperlink" Target="http://www.konkoly.hu/cgi-bin/IBVS?5871" TargetMode="External"/><Relationship Id="rId1" Type="http://schemas.openxmlformats.org/officeDocument/2006/relationships/hyperlink" Target="http://www.bav-astro.de/sfs/BAVM_link.php?BAVMnr=117" TargetMode="External"/><Relationship Id="rId6" Type="http://schemas.openxmlformats.org/officeDocument/2006/relationships/hyperlink" Target="http://www.bav-astro.de/sfs/BAVM_link.php?BAVMnr=117" TargetMode="External"/><Relationship Id="rId11" Type="http://schemas.openxmlformats.org/officeDocument/2006/relationships/hyperlink" Target="http://www.bav-astro.de/sfs/BAVM_link.php?BAVMnr=152" TargetMode="External"/><Relationship Id="rId24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www.konkoly.hu/cgi-bin/IBVS?5672" TargetMode="External"/><Relationship Id="rId23" Type="http://schemas.openxmlformats.org/officeDocument/2006/relationships/hyperlink" Target="http://www.bav-astro.de/sfs/BAVM_link.php?BAVMnr=209" TargetMode="External"/><Relationship Id="rId28" Type="http://schemas.openxmlformats.org/officeDocument/2006/relationships/hyperlink" Target="http://www.bav-astro.de/sfs/BAVM_link.php?BAVMnr=241" TargetMode="External"/><Relationship Id="rId10" Type="http://schemas.openxmlformats.org/officeDocument/2006/relationships/hyperlink" Target="http://www.konkoly.hu/cgi-bin/IBVS?5507" TargetMode="External"/><Relationship Id="rId19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17" TargetMode="External"/><Relationship Id="rId9" Type="http://schemas.openxmlformats.org/officeDocument/2006/relationships/hyperlink" Target="http://www.konkoly.hu/cgi-bin/IBVS?5507" TargetMode="External"/><Relationship Id="rId14" Type="http://schemas.openxmlformats.org/officeDocument/2006/relationships/hyperlink" Target="http://www.konkoly.hu/cgi-bin/IBVS?5603" TargetMode="External"/><Relationship Id="rId22" Type="http://schemas.openxmlformats.org/officeDocument/2006/relationships/hyperlink" Target="http://vsolj.cetus-net.org/no48.pdf" TargetMode="External"/><Relationship Id="rId27" Type="http://schemas.openxmlformats.org/officeDocument/2006/relationships/hyperlink" Target="http://www.bav-astro.de/sfs/BAVM_link.php?BAVMnr=22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9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63</v>
      </c>
    </row>
    <row r="2" spans="1:7" x14ac:dyDescent="0.2">
      <c r="A2" t="s">
        <v>25</v>
      </c>
      <c r="B2" t="s">
        <v>31</v>
      </c>
      <c r="C2" s="73" t="s">
        <v>243</v>
      </c>
    </row>
    <row r="4" spans="1:7" x14ac:dyDescent="0.2">
      <c r="A4" s="8" t="s">
        <v>0</v>
      </c>
      <c r="C4" s="3">
        <v>33330.4064</v>
      </c>
      <c r="D4" s="4">
        <v>0.55737223999999996</v>
      </c>
    </row>
    <row r="6" spans="1:7" x14ac:dyDescent="0.2">
      <c r="A6" s="8" t="s">
        <v>1</v>
      </c>
    </row>
    <row r="7" spans="1:7" x14ac:dyDescent="0.2">
      <c r="A7" t="s">
        <v>2</v>
      </c>
      <c r="C7">
        <f>+C4</f>
        <v>33330.4064</v>
      </c>
    </row>
    <row r="8" spans="1:7" x14ac:dyDescent="0.2">
      <c r="A8" t="s">
        <v>3</v>
      </c>
      <c r="C8">
        <f>+D4</f>
        <v>0.55737223999999996</v>
      </c>
    </row>
    <row r="9" spans="1:7" x14ac:dyDescent="0.2">
      <c r="A9" s="27" t="s">
        <v>47</v>
      </c>
      <c r="B9" s="26"/>
      <c r="C9" s="28">
        <v>-9.5</v>
      </c>
      <c r="D9" s="26" t="s">
        <v>48</v>
      </c>
      <c r="E9" s="26"/>
    </row>
    <row r="10" spans="1:7" ht="13.5" thickBot="1" x14ac:dyDescent="0.25">
      <c r="A10" s="26"/>
      <c r="B10" s="26"/>
      <c r="C10" s="7" t="s">
        <v>20</v>
      </c>
      <c r="D10" s="7" t="s">
        <v>21</v>
      </c>
      <c r="E10" s="26"/>
    </row>
    <row r="11" spans="1:7" x14ac:dyDescent="0.2">
      <c r="A11" s="26" t="s">
        <v>16</v>
      </c>
      <c r="B11" s="26"/>
      <c r="C11" s="41">
        <f ca="1">INTERCEPT(INDIRECT($G$11):G980,INDIRECT($F$11):F980)</f>
        <v>6.404380065327564E-3</v>
      </c>
      <c r="D11" s="6"/>
      <c r="E11" s="26"/>
      <c r="F11" s="42" t="str">
        <f>"F"&amp;E19</f>
        <v>F21</v>
      </c>
      <c r="G11" s="19" t="str">
        <f>"G"&amp;E19</f>
        <v>G21</v>
      </c>
    </row>
    <row r="12" spans="1:7" x14ac:dyDescent="0.2">
      <c r="A12" s="26" t="s">
        <v>17</v>
      </c>
      <c r="B12" s="26"/>
      <c r="C12" s="41">
        <f ca="1">SLOPE(INDIRECT($G$11):G980,INDIRECT($F$11):F980)</f>
        <v>1.5599300866137414E-5</v>
      </c>
      <c r="D12" s="6"/>
      <c r="E12" s="26"/>
    </row>
    <row r="13" spans="1:7" x14ac:dyDescent="0.2">
      <c r="A13" s="26" t="s">
        <v>19</v>
      </c>
      <c r="B13" s="26"/>
      <c r="C13" s="6" t="s">
        <v>14</v>
      </c>
      <c r="D13" s="31" t="s">
        <v>59</v>
      </c>
      <c r="E13" s="28">
        <v>1</v>
      </c>
    </row>
    <row r="14" spans="1:7" x14ac:dyDescent="0.2">
      <c r="A14" s="26"/>
      <c r="B14" s="26"/>
      <c r="C14" s="26"/>
      <c r="D14" s="31" t="s">
        <v>49</v>
      </c>
      <c r="E14" s="32">
        <f ca="1">NOW()+15018.5+$C$9/24</f>
        <v>60365.692057523149</v>
      </c>
    </row>
    <row r="15" spans="1:7" x14ac:dyDescent="0.2">
      <c r="A15" s="29" t="s">
        <v>18</v>
      </c>
      <c r="B15" s="26"/>
      <c r="C15" s="30">
        <f ca="1">(C7+C11)+(C8+C12)*INT(MAX(F21:F3521))</f>
        <v>57063.98700181095</v>
      </c>
      <c r="D15" s="31" t="s">
        <v>60</v>
      </c>
      <c r="E15" s="32">
        <f ca="1">ROUND(2*(E14-$C$7)/$C$8,0)/2+E13</f>
        <v>48506</v>
      </c>
    </row>
    <row r="16" spans="1:7" x14ac:dyDescent="0.2">
      <c r="A16" s="33" t="s">
        <v>4</v>
      </c>
      <c r="B16" s="26"/>
      <c r="C16" s="34">
        <f ca="1">+C8+C12</f>
        <v>0.55738783930086611</v>
      </c>
      <c r="D16" s="31" t="s">
        <v>50</v>
      </c>
      <c r="E16" s="19">
        <f ca="1">ROUND(2*(E14-$C$15)/$C$16,0)/2+E13</f>
        <v>5924.5</v>
      </c>
    </row>
    <row r="17" spans="1:17" ht="13.5" thickBot="1" x14ac:dyDescent="0.25">
      <c r="A17" s="31" t="s">
        <v>45</v>
      </c>
      <c r="B17" s="26"/>
      <c r="C17" s="26">
        <f>COUNT(C21:C2179)</f>
        <v>36</v>
      </c>
      <c r="D17" s="31" t="s">
        <v>51</v>
      </c>
      <c r="E17" s="35">
        <f ca="1">+$C$15+$C$16*E16-15018.5-$C$9/24</f>
        <v>45348.127089082271</v>
      </c>
    </row>
    <row r="18" spans="1:17" x14ac:dyDescent="0.2">
      <c r="A18" s="33" t="s">
        <v>5</v>
      </c>
      <c r="B18" s="26"/>
      <c r="C18" s="36">
        <f ca="1">+C15</f>
        <v>57063.98700181095</v>
      </c>
      <c r="D18" s="37">
        <f ca="1">+C16</f>
        <v>0.55738783930086611</v>
      </c>
      <c r="E18" s="38" t="s">
        <v>52</v>
      </c>
    </row>
    <row r="19" spans="1:17" ht="13.5" thickTop="1" x14ac:dyDescent="0.2">
      <c r="A19" s="43" t="s">
        <v>54</v>
      </c>
      <c r="E19" s="44">
        <v>21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66</v>
      </c>
      <c r="J20" s="10" t="s">
        <v>246</v>
      </c>
      <c r="K20" s="10" t="s">
        <v>57</v>
      </c>
      <c r="L20" s="10" t="s">
        <v>245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15</v>
      </c>
    </row>
    <row r="21" spans="1:17" x14ac:dyDescent="0.2">
      <c r="A21" s="71" t="s">
        <v>80</v>
      </c>
      <c r="B21" s="72" t="s">
        <v>34</v>
      </c>
      <c r="C21" s="71">
        <v>29691.323</v>
      </c>
      <c r="E21">
        <f t="shared" ref="E21:E56" si="0">+(C21-C$7)/C$8</f>
        <v>-6529.0000808077557</v>
      </c>
      <c r="F21">
        <f t="shared" ref="F21:F27" si="1">ROUND(2*E21,0)/2</f>
        <v>-6529</v>
      </c>
      <c r="G21">
        <f>+C21-(C$7+F21*C$8)</f>
        <v>-4.5040000259177759E-5</v>
      </c>
      <c r="L21">
        <f>+G21</f>
        <v>-4.5040000259177759E-5</v>
      </c>
      <c r="O21">
        <f t="shared" ref="O21:O56" ca="1" si="2">+C$11+C$12*$F21</f>
        <v>-9.5443455289683621E-2</v>
      </c>
      <c r="Q21" s="2">
        <f t="shared" ref="Q21:Q56" si="3">+C21-15018.5</f>
        <v>14672.823</v>
      </c>
    </row>
    <row r="22" spans="1:17" x14ac:dyDescent="0.2">
      <c r="A22" s="71" t="s">
        <v>80</v>
      </c>
      <c r="B22" s="72" t="s">
        <v>34</v>
      </c>
      <c r="C22" s="71">
        <v>30085.383000000002</v>
      </c>
      <c r="E22">
        <f t="shared" si="0"/>
        <v>-5822.0039806790492</v>
      </c>
      <c r="F22">
        <f t="shared" si="1"/>
        <v>-5822</v>
      </c>
      <c r="G22">
        <f>+C22-(C$7+F22*C$8)</f>
        <v>-2.2187199974723626E-3</v>
      </c>
      <c r="L22">
        <f>+G22</f>
        <v>-2.2187199974723626E-3</v>
      </c>
      <c r="O22">
        <f t="shared" ca="1" si="2"/>
        <v>-8.4414749577324463E-2</v>
      </c>
      <c r="Q22" s="2">
        <f t="shared" si="3"/>
        <v>15066.883000000002</v>
      </c>
    </row>
    <row r="23" spans="1:17" x14ac:dyDescent="0.2">
      <c r="A23" s="71" t="s">
        <v>80</v>
      </c>
      <c r="B23" s="72" t="s">
        <v>33</v>
      </c>
      <c r="C23" s="71">
        <v>32939.400999999998</v>
      </c>
      <c r="E23">
        <f t="shared" si="0"/>
        <v>-701.51574107817396</v>
      </c>
      <c r="F23">
        <f t="shared" si="1"/>
        <v>-701.5</v>
      </c>
      <c r="G23">
        <f>+C23-(C$7+F23*C$8)</f>
        <v>-8.7736400018911809E-3</v>
      </c>
      <c r="L23">
        <f>+G23</f>
        <v>-8.7736400018911809E-3</v>
      </c>
      <c r="O23">
        <f t="shared" ca="1" si="2"/>
        <v>-4.5385294922678319E-3</v>
      </c>
      <c r="Q23" s="2">
        <f t="shared" si="3"/>
        <v>17920.900999999998</v>
      </c>
    </row>
    <row r="24" spans="1:17" x14ac:dyDescent="0.2">
      <c r="A24" t="s">
        <v>12</v>
      </c>
      <c r="C24" s="20">
        <f>+C7</f>
        <v>33330.4064</v>
      </c>
      <c r="D24" s="20" t="s">
        <v>14</v>
      </c>
      <c r="E24">
        <f t="shared" si="0"/>
        <v>0</v>
      </c>
      <c r="F24">
        <f>ROUND(2*E24,0)/2</f>
        <v>0</v>
      </c>
      <c r="H24" s="19">
        <v>0</v>
      </c>
      <c r="O24">
        <f t="shared" ca="1" si="2"/>
        <v>6.404380065327564E-3</v>
      </c>
      <c r="Q24" s="2">
        <f t="shared" si="3"/>
        <v>18311.9064</v>
      </c>
    </row>
    <row r="25" spans="1:17" x14ac:dyDescent="0.2">
      <c r="A25" s="71" t="s">
        <v>80</v>
      </c>
      <c r="B25" s="72" t="s">
        <v>34</v>
      </c>
      <c r="C25" s="71">
        <v>33330.409</v>
      </c>
      <c r="E25">
        <f t="shared" si="0"/>
        <v>4.664746130525076E-3</v>
      </c>
      <c r="F25">
        <f t="shared" si="1"/>
        <v>0</v>
      </c>
      <c r="G25">
        <f t="shared" ref="G25:G56" si="4">+C25-(C$7+F25*C$8)</f>
        <v>2.599999999802094E-3</v>
      </c>
      <c r="L25">
        <f>+G25</f>
        <v>2.599999999802094E-3</v>
      </c>
      <c r="O25">
        <f t="shared" ca="1" si="2"/>
        <v>6.404380065327564E-3</v>
      </c>
      <c r="Q25" s="2">
        <f t="shared" si="3"/>
        <v>18311.909</v>
      </c>
    </row>
    <row r="26" spans="1:17" x14ac:dyDescent="0.2">
      <c r="A26" s="71" t="s">
        <v>80</v>
      </c>
      <c r="B26" s="72" t="s">
        <v>34</v>
      </c>
      <c r="C26" s="71">
        <v>34748.36</v>
      </c>
      <c r="E26">
        <f t="shared" si="0"/>
        <v>2543.9975266798374</v>
      </c>
      <c r="F26">
        <f t="shared" si="1"/>
        <v>2544</v>
      </c>
      <c r="G26">
        <f t="shared" si="4"/>
        <v>-1.3785600021947175E-3</v>
      </c>
      <c r="L26">
        <f>+G26</f>
        <v>-1.3785600021947175E-3</v>
      </c>
      <c r="O26">
        <f t="shared" ca="1" si="2"/>
        <v>4.6089001468781143E-2</v>
      </c>
      <c r="Q26" s="2">
        <f t="shared" si="3"/>
        <v>19729.86</v>
      </c>
    </row>
    <row r="27" spans="1:17" x14ac:dyDescent="0.2">
      <c r="A27" s="71" t="s">
        <v>80</v>
      </c>
      <c r="B27" s="72" t="s">
        <v>33</v>
      </c>
      <c r="C27" s="71">
        <v>35164.447</v>
      </c>
      <c r="E27">
        <f t="shared" si="0"/>
        <v>3290.5129972027316</v>
      </c>
      <c r="F27">
        <f t="shared" si="1"/>
        <v>3290.5</v>
      </c>
      <c r="G27">
        <f t="shared" si="4"/>
        <v>7.2442800010321662E-3</v>
      </c>
      <c r="L27">
        <f>+G27</f>
        <v>7.2442800010321662E-3</v>
      </c>
      <c r="O27">
        <f t="shared" ca="1" si="2"/>
        <v>5.7733879565352725E-2</v>
      </c>
      <c r="Q27" s="2">
        <f t="shared" si="3"/>
        <v>20145.947</v>
      </c>
    </row>
    <row r="28" spans="1:17" x14ac:dyDescent="0.2">
      <c r="A28" s="71" t="s">
        <v>80</v>
      </c>
      <c r="B28" s="72" t="s">
        <v>34</v>
      </c>
      <c r="C28" s="71">
        <v>36983.423000000003</v>
      </c>
      <c r="E28">
        <f t="shared" si="0"/>
        <v>6553.9980964965225</v>
      </c>
      <c r="F28">
        <f>ROUND(2*E28,0)/2</f>
        <v>6554</v>
      </c>
      <c r="G28">
        <f t="shared" si="4"/>
        <v>-1.0609599994495511E-3</v>
      </c>
      <c r="L28">
        <f>+G28</f>
        <v>-1.0609599994495511E-3</v>
      </c>
      <c r="O28">
        <f t="shared" ca="1" si="2"/>
        <v>0.10864219794199217</v>
      </c>
      <c r="Q28" s="2">
        <f t="shared" si="3"/>
        <v>21964.923000000003</v>
      </c>
    </row>
    <row r="29" spans="1:17" x14ac:dyDescent="0.2">
      <c r="A29" s="11" t="s">
        <v>35</v>
      </c>
      <c r="B29" s="12" t="s">
        <v>33</v>
      </c>
      <c r="C29" s="11">
        <v>50863.328000000001</v>
      </c>
      <c r="D29" s="11">
        <v>2E-3</v>
      </c>
      <c r="E29">
        <f t="shared" si="0"/>
        <v>31456.395460240365</v>
      </c>
      <c r="F29" s="40">
        <f t="shared" ref="F29:F55" si="5">ROUND(2*E29,0)/2-1</f>
        <v>31455.5</v>
      </c>
      <c r="G29">
        <f t="shared" si="4"/>
        <v>0.49910468000598485</v>
      </c>
      <c r="I29">
        <f t="shared" ref="I29:I42" si="6">+G29</f>
        <v>0.49910468000598485</v>
      </c>
      <c r="O29">
        <f t="shared" ca="1" si="2"/>
        <v>0.49708818846011299</v>
      </c>
      <c r="Q29" s="2">
        <f t="shared" si="3"/>
        <v>35844.828000000001</v>
      </c>
    </row>
    <row r="30" spans="1:17" x14ac:dyDescent="0.2">
      <c r="A30" s="11" t="s">
        <v>32</v>
      </c>
      <c r="B30" s="12" t="s">
        <v>33</v>
      </c>
      <c r="C30" s="11">
        <v>51128.642500000075</v>
      </c>
      <c r="D30" s="21">
        <v>8.0000000000000004E-4</v>
      </c>
      <c r="E30">
        <f t="shared" si="0"/>
        <v>31932.404993833341</v>
      </c>
      <c r="F30" s="40">
        <f t="shared" si="5"/>
        <v>31931.5</v>
      </c>
      <c r="G30">
        <f t="shared" si="4"/>
        <v>0.50441844007582404</v>
      </c>
      <c r="I30">
        <f t="shared" si="6"/>
        <v>0.50441844007582404</v>
      </c>
      <c r="O30">
        <f t="shared" ca="1" si="2"/>
        <v>0.50451345567239447</v>
      </c>
      <c r="Q30" s="2">
        <f t="shared" si="3"/>
        <v>36110.142500000075</v>
      </c>
    </row>
    <row r="31" spans="1:17" x14ac:dyDescent="0.2">
      <c r="A31" s="11" t="s">
        <v>32</v>
      </c>
      <c r="B31" s="12" t="s">
        <v>34</v>
      </c>
      <c r="C31" s="11">
        <v>51128.923200000077</v>
      </c>
      <c r="D31" s="21">
        <v>2.0000000000000001E-4</v>
      </c>
      <c r="E31">
        <f t="shared" si="0"/>
        <v>31932.908607002169</v>
      </c>
      <c r="F31" s="40">
        <f t="shared" si="5"/>
        <v>31932</v>
      </c>
      <c r="G31">
        <f t="shared" si="4"/>
        <v>0.50643232007860206</v>
      </c>
      <c r="I31">
        <f t="shared" si="6"/>
        <v>0.50643232007860206</v>
      </c>
      <c r="O31">
        <f t="shared" ca="1" si="2"/>
        <v>0.50452125532282754</v>
      </c>
      <c r="Q31" s="2">
        <f t="shared" si="3"/>
        <v>36110.423200000077</v>
      </c>
    </row>
    <row r="32" spans="1:17" x14ac:dyDescent="0.2">
      <c r="A32" s="11" t="s">
        <v>35</v>
      </c>
      <c r="B32" s="12" t="s">
        <v>33</v>
      </c>
      <c r="C32" s="11">
        <v>51138.678</v>
      </c>
      <c r="D32" s="11">
        <v>8.9999999999999998E-4</v>
      </c>
      <c r="E32">
        <f t="shared" si="0"/>
        <v>31950.41001683184</v>
      </c>
      <c r="F32" s="40">
        <f t="shared" si="5"/>
        <v>31949.5</v>
      </c>
      <c r="G32">
        <f t="shared" si="4"/>
        <v>0.50721812000119826</v>
      </c>
      <c r="I32">
        <f t="shared" si="6"/>
        <v>0.50721812000119826</v>
      </c>
      <c r="O32">
        <f t="shared" ca="1" si="2"/>
        <v>0.50479424308798482</v>
      </c>
      <c r="Q32" s="2">
        <f t="shared" si="3"/>
        <v>36120.178</v>
      </c>
    </row>
    <row r="33" spans="1:24" x14ac:dyDescent="0.2">
      <c r="A33" s="11" t="s">
        <v>35</v>
      </c>
      <c r="B33" s="14"/>
      <c r="C33" s="11">
        <v>51139.511500000001</v>
      </c>
      <c r="D33" s="11">
        <v>5.0000000000000001E-4</v>
      </c>
      <c r="E33">
        <f t="shared" si="0"/>
        <v>31951.905426793415</v>
      </c>
      <c r="F33" s="40">
        <f t="shared" si="5"/>
        <v>31951</v>
      </c>
      <c r="G33">
        <f t="shared" si="4"/>
        <v>0.50465976000123192</v>
      </c>
      <c r="I33">
        <f t="shared" si="6"/>
        <v>0.50465976000123192</v>
      </c>
      <c r="O33">
        <f t="shared" ca="1" si="2"/>
        <v>0.50481764203928403</v>
      </c>
      <c r="Q33" s="2">
        <f t="shared" si="3"/>
        <v>36121.011500000001</v>
      </c>
    </row>
    <row r="34" spans="1:24" x14ac:dyDescent="0.2">
      <c r="A34" s="11" t="s">
        <v>35</v>
      </c>
      <c r="B34" s="14"/>
      <c r="C34" s="11">
        <v>51178.526700000002</v>
      </c>
      <c r="D34" s="11">
        <v>8.0000000000000004E-4</v>
      </c>
      <c r="E34">
        <f t="shared" si="0"/>
        <v>32021.903889580153</v>
      </c>
      <c r="F34" s="40">
        <f t="shared" si="5"/>
        <v>32021</v>
      </c>
      <c r="G34">
        <f t="shared" si="4"/>
        <v>0.50380296000366798</v>
      </c>
      <c r="I34">
        <f t="shared" si="6"/>
        <v>0.50380296000366798</v>
      </c>
      <c r="O34">
        <f t="shared" ca="1" si="2"/>
        <v>0.50590959309991379</v>
      </c>
      <c r="Q34" s="2">
        <f t="shared" si="3"/>
        <v>36160.026700000002</v>
      </c>
    </row>
    <row r="35" spans="1:24" x14ac:dyDescent="0.2">
      <c r="A35" s="11" t="s">
        <v>32</v>
      </c>
      <c r="B35" s="12" t="s">
        <v>33</v>
      </c>
      <c r="C35" s="11">
        <v>51213.92659999989</v>
      </c>
      <c r="D35" s="21">
        <v>4.0000000000000002E-4</v>
      </c>
      <c r="E35">
        <f t="shared" si="0"/>
        <v>32085.416022871701</v>
      </c>
      <c r="F35" s="40">
        <f t="shared" si="5"/>
        <v>32084.5</v>
      </c>
      <c r="G35">
        <f t="shared" si="4"/>
        <v>0.51056571988738142</v>
      </c>
      <c r="I35">
        <f t="shared" si="6"/>
        <v>0.51056571988738142</v>
      </c>
      <c r="O35">
        <f t="shared" ca="1" si="2"/>
        <v>0.5069001487049134</v>
      </c>
      <c r="Q35" s="2">
        <f t="shared" si="3"/>
        <v>36195.42659999989</v>
      </c>
    </row>
    <row r="36" spans="1:24" x14ac:dyDescent="0.2">
      <c r="A36" s="11" t="s">
        <v>32</v>
      </c>
      <c r="B36" s="12" t="s">
        <v>34</v>
      </c>
      <c r="C36" s="11">
        <v>51214.19970000023</v>
      </c>
      <c r="D36" s="21">
        <v>2.0000000000000001E-4</v>
      </c>
      <c r="E36">
        <f t="shared" si="0"/>
        <v>32085.906000629366</v>
      </c>
      <c r="F36" s="40">
        <f t="shared" si="5"/>
        <v>32085</v>
      </c>
      <c r="G36">
        <f t="shared" si="4"/>
        <v>0.50497960022767074</v>
      </c>
      <c r="I36">
        <f t="shared" si="6"/>
        <v>0.50497960022767074</v>
      </c>
      <c r="O36">
        <f t="shared" ca="1" si="2"/>
        <v>0.50690794835534647</v>
      </c>
      <c r="Q36" s="2">
        <f t="shared" si="3"/>
        <v>36195.69970000023</v>
      </c>
    </row>
    <row r="37" spans="1:24" x14ac:dyDescent="0.2">
      <c r="A37" s="11" t="s">
        <v>32</v>
      </c>
      <c r="B37" s="12" t="s">
        <v>33</v>
      </c>
      <c r="C37" s="11">
        <v>51501.530499999877</v>
      </c>
      <c r="D37" s="21">
        <v>4.0000000000000002E-4</v>
      </c>
      <c r="E37">
        <f t="shared" si="0"/>
        <v>32601.415707391308</v>
      </c>
      <c r="F37" s="40">
        <f t="shared" si="5"/>
        <v>32600.5</v>
      </c>
      <c r="G37">
        <f t="shared" si="4"/>
        <v>0.51038987987703877</v>
      </c>
      <c r="I37">
        <f t="shared" si="6"/>
        <v>0.51038987987703877</v>
      </c>
      <c r="O37">
        <f t="shared" ca="1" si="2"/>
        <v>0.51494938795184031</v>
      </c>
      <c r="Q37" s="2">
        <f t="shared" si="3"/>
        <v>36483.030499999877</v>
      </c>
    </row>
    <row r="38" spans="1:24" x14ac:dyDescent="0.2">
      <c r="A38" s="11" t="s">
        <v>32</v>
      </c>
      <c r="B38" s="12" t="s">
        <v>34</v>
      </c>
      <c r="C38" s="11">
        <v>51501.81110000005</v>
      </c>
      <c r="D38" s="21">
        <v>4.0000000000000002E-4</v>
      </c>
      <c r="E38">
        <f t="shared" si="0"/>
        <v>32601.919141147129</v>
      </c>
      <c r="F38" s="40">
        <f t="shared" si="5"/>
        <v>32601</v>
      </c>
      <c r="G38">
        <f t="shared" si="4"/>
        <v>0.51230376004969003</v>
      </c>
      <c r="I38">
        <f t="shared" si="6"/>
        <v>0.51230376004969003</v>
      </c>
      <c r="O38">
        <f t="shared" ca="1" si="2"/>
        <v>0.51495718760227338</v>
      </c>
      <c r="Q38" s="2">
        <f t="shared" si="3"/>
        <v>36483.31110000005</v>
      </c>
    </row>
    <row r="39" spans="1:24" x14ac:dyDescent="0.2">
      <c r="A39" s="15" t="s">
        <v>36</v>
      </c>
      <c r="B39" s="12" t="s">
        <v>33</v>
      </c>
      <c r="C39" s="21">
        <v>51899.500200000002</v>
      </c>
      <c r="D39" s="21">
        <v>1.2999999999999999E-3</v>
      </c>
      <c r="E39">
        <f t="shared" si="0"/>
        <v>33315.426329807895</v>
      </c>
      <c r="F39" s="40">
        <f t="shared" si="5"/>
        <v>33314.5</v>
      </c>
      <c r="G39">
        <f t="shared" si="4"/>
        <v>0.51631052000448108</v>
      </c>
      <c r="I39">
        <f t="shared" si="6"/>
        <v>0.51631052000448108</v>
      </c>
      <c r="O39">
        <f t="shared" ca="1" si="2"/>
        <v>0.52608728877026256</v>
      </c>
      <c r="Q39" s="2">
        <f t="shared" si="3"/>
        <v>36881.000200000002</v>
      </c>
    </row>
    <row r="40" spans="1:24" x14ac:dyDescent="0.2">
      <c r="A40" s="15" t="s">
        <v>37</v>
      </c>
      <c r="B40" s="14" t="s">
        <v>34</v>
      </c>
      <c r="C40" s="22">
        <v>52627.733699999997</v>
      </c>
      <c r="D40" s="39">
        <v>5.0000000000000001E-4</v>
      </c>
      <c r="E40">
        <f t="shared" si="0"/>
        <v>34621.974176539537</v>
      </c>
      <c r="F40" s="40">
        <f t="shared" si="5"/>
        <v>34621</v>
      </c>
      <c r="G40">
        <f t="shared" si="4"/>
        <v>0.54297896000207402</v>
      </c>
      <c r="I40">
        <f t="shared" si="6"/>
        <v>0.54297896000207402</v>
      </c>
      <c r="O40">
        <f t="shared" ca="1" si="2"/>
        <v>0.54646777535187097</v>
      </c>
      <c r="Q40" s="2">
        <f t="shared" si="3"/>
        <v>37609.233699999997</v>
      </c>
    </row>
    <row r="41" spans="1:24" x14ac:dyDescent="0.2">
      <c r="A41" s="17" t="s">
        <v>39</v>
      </c>
      <c r="B41" s="6" t="s">
        <v>33</v>
      </c>
      <c r="C41" s="23">
        <v>52689.325900000003</v>
      </c>
      <c r="D41" s="23">
        <v>2.0000000000000001E-4</v>
      </c>
      <c r="E41">
        <f t="shared" si="0"/>
        <v>34732.478782940474</v>
      </c>
      <c r="F41" s="40">
        <f t="shared" si="5"/>
        <v>34731.5</v>
      </c>
      <c r="G41">
        <f t="shared" si="4"/>
        <v>0.54554644000745611</v>
      </c>
      <c r="I41">
        <f t="shared" si="6"/>
        <v>0.54554644000745611</v>
      </c>
      <c r="O41">
        <f t="shared" ca="1" si="2"/>
        <v>0.54819149809757928</v>
      </c>
      <c r="Q41" s="2">
        <f t="shared" si="3"/>
        <v>37670.825900000003</v>
      </c>
    </row>
    <row r="42" spans="1:24" x14ac:dyDescent="0.2">
      <c r="A42" s="11" t="s">
        <v>38</v>
      </c>
      <c r="B42" s="14" t="s">
        <v>34</v>
      </c>
      <c r="C42" s="22">
        <v>53082.560799999999</v>
      </c>
      <c r="D42" s="11">
        <v>8.0000000000000004E-4</v>
      </c>
      <c r="E42">
        <f t="shared" si="0"/>
        <v>35437.994543825866</v>
      </c>
      <c r="F42" s="40">
        <f t="shared" si="5"/>
        <v>35437</v>
      </c>
      <c r="G42">
        <f t="shared" si="4"/>
        <v>0.55433112000173423</v>
      </c>
      <c r="I42">
        <f t="shared" si="6"/>
        <v>0.55433112000173423</v>
      </c>
      <c r="O42">
        <f t="shared" ca="1" si="2"/>
        <v>0.5591968048586391</v>
      </c>
      <c r="Q42" s="2">
        <f t="shared" si="3"/>
        <v>38064.060799999999</v>
      </c>
    </row>
    <row r="43" spans="1:24" x14ac:dyDescent="0.2">
      <c r="A43" s="8" t="s">
        <v>43</v>
      </c>
      <c r="C43" s="20">
        <v>53697.915800000002</v>
      </c>
      <c r="D43" s="20">
        <v>2.9999999999999997E-4</v>
      </c>
      <c r="E43">
        <f t="shared" si="0"/>
        <v>36542.023334351928</v>
      </c>
      <c r="F43" s="40">
        <f t="shared" si="5"/>
        <v>36541</v>
      </c>
      <c r="G43">
        <f t="shared" si="4"/>
        <v>0.57037816000229213</v>
      </c>
      <c r="I43">
        <f>+G43</f>
        <v>0.57037816000229213</v>
      </c>
      <c r="O43">
        <f t="shared" ca="1" si="2"/>
        <v>0.57641843301485474</v>
      </c>
      <c r="Q43" s="2">
        <f t="shared" si="3"/>
        <v>38679.415800000002</v>
      </c>
      <c r="X43" t="s">
        <v>244</v>
      </c>
    </row>
    <row r="44" spans="1:24" x14ac:dyDescent="0.2">
      <c r="A44" s="17" t="s">
        <v>44</v>
      </c>
      <c r="B44" s="24" t="s">
        <v>34</v>
      </c>
      <c r="C44" s="25">
        <v>53706.8367</v>
      </c>
      <c r="D44" s="25">
        <v>2.0000000000000001E-4</v>
      </c>
      <c r="E44">
        <f t="shared" si="0"/>
        <v>36558.028616566909</v>
      </c>
      <c r="F44" s="40">
        <f t="shared" si="5"/>
        <v>36557</v>
      </c>
      <c r="G44">
        <f t="shared" si="4"/>
        <v>0.57332232000044314</v>
      </c>
      <c r="I44">
        <f>+G44</f>
        <v>0.57332232000044314</v>
      </c>
      <c r="O44">
        <f t="shared" ca="1" si="2"/>
        <v>0.57666802182871302</v>
      </c>
      <c r="Q44" s="2">
        <f t="shared" si="3"/>
        <v>38688.3367</v>
      </c>
    </row>
    <row r="45" spans="1:24" x14ac:dyDescent="0.2">
      <c r="A45" s="47" t="s">
        <v>46</v>
      </c>
      <c r="B45" s="48"/>
      <c r="C45" s="45">
        <v>53780.4035</v>
      </c>
      <c r="D45" s="45">
        <v>4.1000000000000003E-3</v>
      </c>
      <c r="E45">
        <f t="shared" si="0"/>
        <v>36690.017249513541</v>
      </c>
      <c r="F45" s="40">
        <f t="shared" si="5"/>
        <v>36689</v>
      </c>
      <c r="G45">
        <f t="shared" si="4"/>
        <v>0.56698663999850396</v>
      </c>
      <c r="I45">
        <f>+G45</f>
        <v>0.56698663999850396</v>
      </c>
      <c r="O45">
        <f t="shared" ca="1" si="2"/>
        <v>0.57872712954304317</v>
      </c>
      <c r="Q45" s="2">
        <f t="shared" si="3"/>
        <v>38761.9035</v>
      </c>
    </row>
    <row r="46" spans="1:24" x14ac:dyDescent="0.2">
      <c r="A46" s="45" t="s">
        <v>53</v>
      </c>
      <c r="B46" s="49"/>
      <c r="C46" s="45">
        <v>54154.417800000003</v>
      </c>
      <c r="D46" s="45">
        <v>3.0999999999999999E-3</v>
      </c>
      <c r="E46">
        <f t="shared" si="0"/>
        <v>37361.048695213103</v>
      </c>
      <c r="F46" s="40">
        <f t="shared" si="5"/>
        <v>37360</v>
      </c>
      <c r="G46">
        <f t="shared" si="4"/>
        <v>0.58451360000617569</v>
      </c>
      <c r="I46">
        <f>+G46</f>
        <v>0.58451360000617569</v>
      </c>
      <c r="O46">
        <f t="shared" ca="1" si="2"/>
        <v>0.58919426042422129</v>
      </c>
      <c r="Q46" s="2">
        <f t="shared" si="3"/>
        <v>39135.917800000003</v>
      </c>
    </row>
    <row r="47" spans="1:24" x14ac:dyDescent="0.2">
      <c r="A47" s="71" t="s">
        <v>194</v>
      </c>
      <c r="B47" s="72" t="s">
        <v>33</v>
      </c>
      <c r="C47" s="71">
        <v>54453.456200000001</v>
      </c>
      <c r="E47">
        <f t="shared" si="0"/>
        <v>37897.563394976401</v>
      </c>
      <c r="F47" s="40">
        <f t="shared" si="5"/>
        <v>37896.5</v>
      </c>
      <c r="G47">
        <f t="shared" si="4"/>
        <v>0.59270684000512119</v>
      </c>
      <c r="L47">
        <f>+G47</f>
        <v>0.59270684000512119</v>
      </c>
      <c r="O47">
        <f t="shared" ca="1" si="2"/>
        <v>0.59756328533890413</v>
      </c>
      <c r="Q47" s="2">
        <f t="shared" si="3"/>
        <v>39434.956200000001</v>
      </c>
    </row>
    <row r="48" spans="1:24" x14ac:dyDescent="0.2">
      <c r="A48" s="45" t="s">
        <v>55</v>
      </c>
      <c r="B48" s="46" t="s">
        <v>33</v>
      </c>
      <c r="C48" s="45">
        <v>54811.853499999997</v>
      </c>
      <c r="D48" s="45">
        <v>5.0000000000000001E-4</v>
      </c>
      <c r="E48">
        <f t="shared" si="0"/>
        <v>38540.575863627506</v>
      </c>
      <c r="F48" s="40">
        <f t="shared" si="5"/>
        <v>38539.5</v>
      </c>
      <c r="G48">
        <f t="shared" si="4"/>
        <v>0.59965652000391856</v>
      </c>
      <c r="I48">
        <f>+G48</f>
        <v>0.59965652000391856</v>
      </c>
      <c r="O48">
        <f t="shared" ca="1" si="2"/>
        <v>0.60759363579583048</v>
      </c>
      <c r="Q48" s="2">
        <f t="shared" si="3"/>
        <v>39793.353499999997</v>
      </c>
    </row>
    <row r="49" spans="1:17" x14ac:dyDescent="0.2">
      <c r="A49" s="71" t="s">
        <v>194</v>
      </c>
      <c r="B49" s="72" t="s">
        <v>34</v>
      </c>
      <c r="C49" s="71">
        <v>54815.48</v>
      </c>
      <c r="E49">
        <f t="shared" si="0"/>
        <v>38547.082287413534</v>
      </c>
      <c r="F49" s="40">
        <f t="shared" si="5"/>
        <v>38546</v>
      </c>
      <c r="G49">
        <f t="shared" si="4"/>
        <v>0.6032369600070524</v>
      </c>
      <c r="L49">
        <f>+G49</f>
        <v>0.6032369600070524</v>
      </c>
      <c r="O49">
        <f t="shared" ca="1" si="2"/>
        <v>0.6076950312514604</v>
      </c>
      <c r="Q49" s="2">
        <f t="shared" si="3"/>
        <v>39796.980000000003</v>
      </c>
    </row>
    <row r="50" spans="1:17" x14ac:dyDescent="0.2">
      <c r="A50" s="71" t="s">
        <v>211</v>
      </c>
      <c r="B50" s="72" t="s">
        <v>33</v>
      </c>
      <c r="C50" s="71">
        <v>54819.103499999997</v>
      </c>
      <c r="E50">
        <f t="shared" si="0"/>
        <v>38553.583328800152</v>
      </c>
      <c r="F50" s="40">
        <f t="shared" si="5"/>
        <v>38552.5</v>
      </c>
      <c r="G50">
        <f t="shared" si="4"/>
        <v>0.60381739999866113</v>
      </c>
      <c r="L50">
        <f>+G50</f>
        <v>0.60381739999866113</v>
      </c>
      <c r="O50">
        <f t="shared" ca="1" si="2"/>
        <v>0.60779642670709033</v>
      </c>
      <c r="Q50" s="2">
        <f t="shared" si="3"/>
        <v>39800.603499999997</v>
      </c>
    </row>
    <row r="51" spans="1:17" x14ac:dyDescent="0.2">
      <c r="A51" s="50" t="s">
        <v>61</v>
      </c>
      <c r="B51" s="51" t="s">
        <v>34</v>
      </c>
      <c r="C51" s="50">
        <v>54840.559300000001</v>
      </c>
      <c r="D51" s="50">
        <v>2.2000000000000001E-3</v>
      </c>
      <c r="E51">
        <f t="shared" si="0"/>
        <v>38592.077890352062</v>
      </c>
      <c r="F51" s="40">
        <f t="shared" si="5"/>
        <v>38591</v>
      </c>
      <c r="G51">
        <f t="shared" si="4"/>
        <v>0.60078616000100737</v>
      </c>
      <c r="I51">
        <f t="shared" ref="I51:I56" si="7">+G51</f>
        <v>0.60078616000100737</v>
      </c>
      <c r="O51">
        <f t="shared" ca="1" si="2"/>
        <v>0.6083969997904366</v>
      </c>
      <c r="Q51" s="2">
        <f t="shared" si="3"/>
        <v>39822.059300000001</v>
      </c>
    </row>
    <row r="52" spans="1:17" x14ac:dyDescent="0.2">
      <c r="A52" s="50" t="s">
        <v>61</v>
      </c>
      <c r="B52" s="51" t="s">
        <v>33</v>
      </c>
      <c r="C52" s="50">
        <v>54841.401599999997</v>
      </c>
      <c r="D52" s="50">
        <v>1.5E-3</v>
      </c>
      <c r="E52">
        <f t="shared" si="0"/>
        <v>38593.589088685148</v>
      </c>
      <c r="F52" s="40">
        <f t="shared" si="5"/>
        <v>38592.5</v>
      </c>
      <c r="G52">
        <f t="shared" si="4"/>
        <v>0.60702779999701306</v>
      </c>
      <c r="I52">
        <f t="shared" si="7"/>
        <v>0.60702779999701306</v>
      </c>
      <c r="O52">
        <f t="shared" ca="1" si="2"/>
        <v>0.60842039874173581</v>
      </c>
      <c r="Q52" s="2">
        <f t="shared" si="3"/>
        <v>39822.901599999997</v>
      </c>
    </row>
    <row r="53" spans="1:17" x14ac:dyDescent="0.2">
      <c r="A53" s="45" t="s">
        <v>56</v>
      </c>
      <c r="B53" s="46" t="s">
        <v>33</v>
      </c>
      <c r="C53" s="45">
        <v>54887.662700000001</v>
      </c>
      <c r="D53" s="45">
        <v>5.0000000000000001E-4</v>
      </c>
      <c r="E53">
        <f t="shared" si="0"/>
        <v>38676.587660698715</v>
      </c>
      <c r="F53" s="40">
        <f t="shared" si="5"/>
        <v>38675.5</v>
      </c>
      <c r="G53">
        <f t="shared" si="4"/>
        <v>0.60623188000317896</v>
      </c>
      <c r="I53">
        <f t="shared" si="7"/>
        <v>0.60623188000317896</v>
      </c>
      <c r="O53">
        <f t="shared" ca="1" si="2"/>
        <v>0.6097151407136252</v>
      </c>
      <c r="Q53" s="2">
        <f t="shared" si="3"/>
        <v>39869.162700000001</v>
      </c>
    </row>
    <row r="54" spans="1:17" x14ac:dyDescent="0.2">
      <c r="A54" s="50" t="s">
        <v>58</v>
      </c>
      <c r="B54" s="51" t="s">
        <v>34</v>
      </c>
      <c r="C54" s="50">
        <v>55259.719499999999</v>
      </c>
      <c r="D54" s="50">
        <v>2.0000000000000001E-4</v>
      </c>
      <c r="E54">
        <f t="shared" si="0"/>
        <v>39344.107090801655</v>
      </c>
      <c r="F54" s="40">
        <f t="shared" si="5"/>
        <v>39343</v>
      </c>
      <c r="G54">
        <f t="shared" si="4"/>
        <v>0.61706168000091566</v>
      </c>
      <c r="I54">
        <f t="shared" si="7"/>
        <v>0.61706168000091566</v>
      </c>
      <c r="O54">
        <f t="shared" ca="1" si="2"/>
        <v>0.62012767404177183</v>
      </c>
      <c r="Q54" s="2">
        <f t="shared" si="3"/>
        <v>40241.219499999999</v>
      </c>
    </row>
    <row r="55" spans="1:17" x14ac:dyDescent="0.2">
      <c r="A55" s="52" t="s">
        <v>62</v>
      </c>
      <c r="B55" s="53" t="s">
        <v>34</v>
      </c>
      <c r="C55" s="54">
        <v>55980.4254</v>
      </c>
      <c r="D55" s="54">
        <v>1.6999999999999999E-3</v>
      </c>
      <c r="E55">
        <f t="shared" si="0"/>
        <v>40637.149421004535</v>
      </c>
      <c r="F55" s="40">
        <f t="shared" si="5"/>
        <v>40636</v>
      </c>
      <c r="G55">
        <f t="shared" si="4"/>
        <v>0.64065536000271095</v>
      </c>
      <c r="I55">
        <f t="shared" si="7"/>
        <v>0.64065536000271095</v>
      </c>
      <c r="O55">
        <f t="shared" ca="1" si="2"/>
        <v>0.64029757006168753</v>
      </c>
      <c r="Q55" s="2">
        <f t="shared" si="3"/>
        <v>40961.9254</v>
      </c>
    </row>
    <row r="56" spans="1:17" x14ac:dyDescent="0.2">
      <c r="A56" s="68" t="s">
        <v>242</v>
      </c>
      <c r="B56" s="69"/>
      <c r="C56" s="68">
        <v>57064.109600000003</v>
      </c>
      <c r="D56" s="68">
        <v>1E-3</v>
      </c>
      <c r="E56">
        <f t="shared" si="0"/>
        <v>42581.423143714521</v>
      </c>
      <c r="F56" s="70">
        <f>ROUND(2*E56,0)/2-1.5</f>
        <v>42580</v>
      </c>
      <c r="G56">
        <f t="shared" si="4"/>
        <v>0.7932208000056562</v>
      </c>
      <c r="I56">
        <f t="shared" si="7"/>
        <v>0.7932208000056562</v>
      </c>
      <c r="O56">
        <f t="shared" ca="1" si="2"/>
        <v>0.67062261094545872</v>
      </c>
      <c r="Q56" s="2">
        <f t="shared" si="3"/>
        <v>42045.609600000003</v>
      </c>
    </row>
    <row r="57" spans="1:17" x14ac:dyDescent="0.2">
      <c r="B57" s="6"/>
    </row>
    <row r="58" spans="1:17" x14ac:dyDescent="0.2">
      <c r="B58" s="6"/>
    </row>
    <row r="59" spans="1:17" x14ac:dyDescent="0.2">
      <c r="B59" s="6"/>
    </row>
    <row r="60" spans="1:17" x14ac:dyDescent="0.2">
      <c r="B60" s="6"/>
    </row>
    <row r="61" spans="1:17" x14ac:dyDescent="0.2">
      <c r="B61" s="6"/>
    </row>
    <row r="62" spans="1:17" x14ac:dyDescent="0.2">
      <c r="B62" s="6"/>
    </row>
    <row r="63" spans="1:17" x14ac:dyDescent="0.2">
      <c r="B63" s="6"/>
    </row>
    <row r="64" spans="1:17" x14ac:dyDescent="0.2">
      <c r="B64" s="6"/>
    </row>
    <row r="65" spans="2:2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x14ac:dyDescent="0.2">
      <c r="B69" s="6"/>
    </row>
    <row r="70" spans="2:2" x14ac:dyDescent="0.2">
      <c r="B70" s="6"/>
    </row>
    <row r="71" spans="2:2" x14ac:dyDescent="0.2">
      <c r="B71" s="6"/>
    </row>
    <row r="72" spans="2:2" x14ac:dyDescent="0.2">
      <c r="B72" s="6"/>
    </row>
    <row r="73" spans="2:2" x14ac:dyDescent="0.2">
      <c r="B73" s="6"/>
    </row>
    <row r="74" spans="2:2" x14ac:dyDescent="0.2">
      <c r="B74" s="6"/>
    </row>
    <row r="75" spans="2:2" x14ac:dyDescent="0.2">
      <c r="B75" s="6"/>
    </row>
    <row r="76" spans="2:2" x14ac:dyDescent="0.2">
      <c r="B76" s="6"/>
    </row>
    <row r="77" spans="2:2" x14ac:dyDescent="0.2">
      <c r="B77" s="6"/>
    </row>
    <row r="78" spans="2:2" x14ac:dyDescent="0.2">
      <c r="B78" s="6"/>
    </row>
    <row r="79" spans="2:2" x14ac:dyDescent="0.2">
      <c r="B79" s="6"/>
    </row>
    <row r="80" spans="2:2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  <row r="84" spans="2:2" x14ac:dyDescent="0.2">
      <c r="B84" s="6"/>
    </row>
    <row r="85" spans="2:2" x14ac:dyDescent="0.2">
      <c r="B85" s="6"/>
    </row>
    <row r="86" spans="2:2" x14ac:dyDescent="0.2">
      <c r="B86" s="6"/>
    </row>
    <row r="87" spans="2:2" x14ac:dyDescent="0.2">
      <c r="B87" s="6"/>
    </row>
    <row r="88" spans="2:2" x14ac:dyDescent="0.2">
      <c r="B88" s="6"/>
    </row>
    <row r="89" spans="2:2" x14ac:dyDescent="0.2">
      <c r="B89" s="6"/>
    </row>
    <row r="90" spans="2:2" x14ac:dyDescent="0.2">
      <c r="B90" s="6"/>
    </row>
    <row r="91" spans="2:2" x14ac:dyDescent="0.2">
      <c r="B91" s="6"/>
    </row>
    <row r="92" spans="2:2" x14ac:dyDescent="0.2">
      <c r="B92" s="6"/>
    </row>
    <row r="93" spans="2:2" x14ac:dyDescent="0.2">
      <c r="B93" s="6"/>
    </row>
    <row r="94" spans="2:2" x14ac:dyDescent="0.2">
      <c r="B94" s="6"/>
    </row>
    <row r="95" spans="2:2" x14ac:dyDescent="0.2">
      <c r="B95" s="6"/>
    </row>
    <row r="96" spans="2:2" x14ac:dyDescent="0.2">
      <c r="B96" s="6"/>
    </row>
    <row r="97" spans="2:2" x14ac:dyDescent="0.2">
      <c r="B97" s="6"/>
    </row>
    <row r="98" spans="2:2" x14ac:dyDescent="0.2">
      <c r="B98" s="6"/>
    </row>
    <row r="99" spans="2:2" x14ac:dyDescent="0.2">
      <c r="B99" s="6"/>
    </row>
    <row r="100" spans="2:2" x14ac:dyDescent="0.2">
      <c r="B100" s="6"/>
    </row>
    <row r="101" spans="2:2" x14ac:dyDescent="0.2">
      <c r="B101" s="6"/>
    </row>
    <row r="102" spans="2:2" x14ac:dyDescent="0.2">
      <c r="B102" s="6"/>
    </row>
    <row r="103" spans="2:2" x14ac:dyDescent="0.2">
      <c r="B103" s="6"/>
    </row>
    <row r="104" spans="2:2" x14ac:dyDescent="0.2">
      <c r="B104" s="6"/>
    </row>
    <row r="105" spans="2:2" x14ac:dyDescent="0.2">
      <c r="B105" s="6"/>
    </row>
    <row r="106" spans="2:2" x14ac:dyDescent="0.2">
      <c r="B106" s="6"/>
    </row>
    <row r="107" spans="2:2" x14ac:dyDescent="0.2">
      <c r="B107" s="6"/>
    </row>
    <row r="108" spans="2:2" x14ac:dyDescent="0.2">
      <c r="B108" s="6"/>
    </row>
    <row r="109" spans="2:2" x14ac:dyDescent="0.2">
      <c r="B109" s="6"/>
    </row>
    <row r="110" spans="2:2" x14ac:dyDescent="0.2">
      <c r="B110" s="6"/>
    </row>
    <row r="111" spans="2:2" x14ac:dyDescent="0.2">
      <c r="B111" s="6"/>
    </row>
    <row r="112" spans="2:2" x14ac:dyDescent="0.2">
      <c r="B112" s="6"/>
    </row>
    <row r="113" spans="2:2" x14ac:dyDescent="0.2">
      <c r="B113" s="6"/>
    </row>
    <row r="114" spans="2:2" x14ac:dyDescent="0.2">
      <c r="B114" s="6"/>
    </row>
    <row r="115" spans="2:2" x14ac:dyDescent="0.2">
      <c r="B115" s="6"/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  <row r="119" spans="2:2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x14ac:dyDescent="0.2">
      <c r="B131" s="6"/>
    </row>
    <row r="132" spans="2:2" x14ac:dyDescent="0.2">
      <c r="B132" s="6"/>
    </row>
    <row r="133" spans="2:2" x14ac:dyDescent="0.2">
      <c r="B133" s="6"/>
    </row>
    <row r="134" spans="2:2" x14ac:dyDescent="0.2">
      <c r="B134" s="6"/>
    </row>
    <row r="135" spans="2:2" x14ac:dyDescent="0.2">
      <c r="B135" s="6"/>
    </row>
    <row r="136" spans="2:2" x14ac:dyDescent="0.2">
      <c r="B136" s="6"/>
    </row>
    <row r="137" spans="2:2" x14ac:dyDescent="0.2">
      <c r="B137" s="6"/>
    </row>
    <row r="138" spans="2:2" x14ac:dyDescent="0.2">
      <c r="B138" s="6"/>
    </row>
    <row r="139" spans="2:2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x14ac:dyDescent="0.2">
      <c r="B149" s="6"/>
    </row>
    <row r="150" spans="2:2" x14ac:dyDescent="0.2">
      <c r="B150" s="6"/>
    </row>
    <row r="151" spans="2:2" x14ac:dyDescent="0.2">
      <c r="B151" s="6"/>
    </row>
    <row r="152" spans="2:2" x14ac:dyDescent="0.2">
      <c r="B152" s="6"/>
    </row>
    <row r="153" spans="2:2" x14ac:dyDescent="0.2">
      <c r="B153" s="6"/>
    </row>
    <row r="154" spans="2:2" x14ac:dyDescent="0.2">
      <c r="B154" s="6"/>
    </row>
    <row r="155" spans="2:2" x14ac:dyDescent="0.2">
      <c r="B155" s="6"/>
    </row>
    <row r="156" spans="2:2" x14ac:dyDescent="0.2">
      <c r="B156" s="6"/>
    </row>
    <row r="157" spans="2:2" x14ac:dyDescent="0.2">
      <c r="B157" s="6"/>
    </row>
    <row r="158" spans="2:2" x14ac:dyDescent="0.2">
      <c r="B158" s="6"/>
    </row>
    <row r="159" spans="2:2" x14ac:dyDescent="0.2">
      <c r="B159" s="6"/>
    </row>
    <row r="160" spans="2:2" x14ac:dyDescent="0.2">
      <c r="B160" s="6"/>
    </row>
    <row r="161" spans="2:2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x14ac:dyDescent="0.2">
      <c r="B172" s="6"/>
    </row>
    <row r="173" spans="2:2" x14ac:dyDescent="0.2">
      <c r="B173" s="6"/>
    </row>
    <row r="174" spans="2:2" x14ac:dyDescent="0.2">
      <c r="B174" s="6"/>
    </row>
    <row r="175" spans="2:2" x14ac:dyDescent="0.2">
      <c r="B175" s="6"/>
    </row>
    <row r="176" spans="2:2" x14ac:dyDescent="0.2">
      <c r="B176" s="6"/>
    </row>
    <row r="177" spans="2:2" x14ac:dyDescent="0.2">
      <c r="B177" s="6"/>
    </row>
    <row r="178" spans="2:2" x14ac:dyDescent="0.2">
      <c r="B178" s="6"/>
    </row>
    <row r="179" spans="2:2" x14ac:dyDescent="0.2">
      <c r="B179" s="6"/>
    </row>
    <row r="180" spans="2:2" x14ac:dyDescent="0.2">
      <c r="B180" s="6"/>
    </row>
    <row r="181" spans="2:2" x14ac:dyDescent="0.2">
      <c r="B181" s="6"/>
    </row>
    <row r="182" spans="2:2" x14ac:dyDescent="0.2">
      <c r="B182" s="6"/>
    </row>
    <row r="183" spans="2:2" x14ac:dyDescent="0.2">
      <c r="B183" s="6"/>
    </row>
    <row r="184" spans="2:2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x14ac:dyDescent="0.2">
      <c r="B190" s="6"/>
    </row>
    <row r="191" spans="2:2" x14ac:dyDescent="0.2">
      <c r="B191" s="6"/>
    </row>
    <row r="192" spans="2:2" x14ac:dyDescent="0.2">
      <c r="B192" s="6"/>
    </row>
    <row r="193" spans="2:2" x14ac:dyDescent="0.2">
      <c r="B193" s="6"/>
    </row>
    <row r="194" spans="2:2" x14ac:dyDescent="0.2">
      <c r="B194" s="6"/>
    </row>
    <row r="195" spans="2:2" x14ac:dyDescent="0.2">
      <c r="B195" s="6"/>
    </row>
    <row r="196" spans="2:2" x14ac:dyDescent="0.2">
      <c r="B196" s="6"/>
    </row>
    <row r="197" spans="2:2" x14ac:dyDescent="0.2">
      <c r="B197" s="6"/>
    </row>
    <row r="198" spans="2:2" x14ac:dyDescent="0.2">
      <c r="B198" s="6"/>
    </row>
    <row r="199" spans="2:2" x14ac:dyDescent="0.2">
      <c r="B199" s="6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6"/>
  <sheetViews>
    <sheetView workbookViewId="0">
      <selection activeCell="A30" sqref="A30:C45"/>
    </sheetView>
  </sheetViews>
  <sheetFormatPr defaultRowHeight="12.75" x14ac:dyDescent="0.2"/>
  <cols>
    <col min="1" max="1" width="19.7109375" style="20" customWidth="1"/>
    <col min="2" max="2" width="4.42578125" style="26" customWidth="1"/>
    <col min="3" max="3" width="12.7109375" style="20" customWidth="1"/>
    <col min="4" max="4" width="5.42578125" style="26" customWidth="1"/>
    <col min="5" max="5" width="14.85546875" style="26" customWidth="1"/>
    <col min="6" max="6" width="9.140625" style="26"/>
    <col min="7" max="7" width="12" style="26" customWidth="1"/>
    <col min="8" max="8" width="14.140625" style="20" customWidth="1"/>
    <col min="9" max="9" width="22.5703125" style="26" customWidth="1"/>
    <col min="10" max="10" width="25.140625" style="26" customWidth="1"/>
    <col min="11" max="11" width="15.7109375" style="26" customWidth="1"/>
    <col min="12" max="12" width="14.140625" style="26" customWidth="1"/>
    <col min="13" max="13" width="9.5703125" style="26" customWidth="1"/>
    <col min="14" max="14" width="14.140625" style="26" customWidth="1"/>
    <col min="15" max="15" width="23.42578125" style="26" customWidth="1"/>
    <col min="16" max="16" width="16.5703125" style="26" customWidth="1"/>
    <col min="17" max="17" width="41" style="26" customWidth="1"/>
    <col min="18" max="16384" width="9.140625" style="26"/>
  </cols>
  <sheetData>
    <row r="1" spans="1:16" ht="15.75" x14ac:dyDescent="0.25">
      <c r="A1" s="55" t="s">
        <v>64</v>
      </c>
      <c r="I1" s="56" t="s">
        <v>65</v>
      </c>
      <c r="J1" s="57" t="s">
        <v>66</v>
      </c>
    </row>
    <row r="2" spans="1:16" x14ac:dyDescent="0.2">
      <c r="I2" s="58" t="s">
        <v>67</v>
      </c>
      <c r="J2" s="59" t="s">
        <v>68</v>
      </c>
    </row>
    <row r="3" spans="1:16" x14ac:dyDescent="0.2">
      <c r="A3" s="60" t="s">
        <v>69</v>
      </c>
      <c r="I3" s="58" t="s">
        <v>70</v>
      </c>
      <c r="J3" s="59" t="s">
        <v>71</v>
      </c>
    </row>
    <row r="4" spans="1:16" x14ac:dyDescent="0.2">
      <c r="I4" s="58" t="s">
        <v>72</v>
      </c>
      <c r="J4" s="59" t="s">
        <v>71</v>
      </c>
    </row>
    <row r="5" spans="1:16" ht="13.5" thickBot="1" x14ac:dyDescent="0.25">
      <c r="I5" s="61" t="s">
        <v>73</v>
      </c>
      <c r="J5" s="62" t="s">
        <v>74</v>
      </c>
    </row>
    <row r="10" spans="1:16" ht="13.5" thickBot="1" x14ac:dyDescent="0.25"/>
    <row r="11" spans="1:16" ht="12.75" customHeight="1" thickBot="1" x14ac:dyDescent="0.25">
      <c r="A11" s="20" t="str">
        <f t="shared" ref="A11:A45" si="0">P11</f>
        <v>BAVM 117 </v>
      </c>
      <c r="B11" s="6" t="str">
        <f t="shared" ref="B11:B45" si="1">IF(H11=INT(H11),"I","II")</f>
        <v>II</v>
      </c>
      <c r="C11" s="20">
        <f t="shared" ref="C11:C45" si="2">1*G11</f>
        <v>50863.328000000001</v>
      </c>
      <c r="D11" s="26" t="str">
        <f t="shared" ref="D11:D45" si="3">VLOOKUP(F11,I$1:J$5,2,FALSE)</f>
        <v>vis</v>
      </c>
      <c r="E11" s="63">
        <f>VLOOKUP(C11,Active!C$21:E$967,3,FALSE)</f>
        <v>31456.395460240365</v>
      </c>
      <c r="F11" s="6" t="s">
        <v>73</v>
      </c>
      <c r="G11" s="26" t="str">
        <f t="shared" ref="G11:G45" si="4">MID(I11,3,LEN(I11)-3)</f>
        <v>50863.328</v>
      </c>
      <c r="H11" s="20">
        <f t="shared" ref="H11:H45" si="5">1*K11</f>
        <v>31456.5</v>
      </c>
      <c r="I11" s="64" t="s">
        <v>98</v>
      </c>
      <c r="J11" s="65" t="s">
        <v>99</v>
      </c>
      <c r="K11" s="64">
        <v>31456.5</v>
      </c>
      <c r="L11" s="64" t="s">
        <v>100</v>
      </c>
      <c r="M11" s="65" t="s">
        <v>101</v>
      </c>
      <c r="N11" s="65" t="s">
        <v>102</v>
      </c>
      <c r="O11" s="66" t="s">
        <v>103</v>
      </c>
      <c r="P11" s="67" t="s">
        <v>104</v>
      </c>
    </row>
    <row r="12" spans="1:16" ht="12.75" customHeight="1" thickBot="1" x14ac:dyDescent="0.25">
      <c r="A12" s="20" t="str">
        <f t="shared" si="0"/>
        <v>BAVM 117 </v>
      </c>
      <c r="B12" s="6" t="str">
        <f t="shared" si="1"/>
        <v>II</v>
      </c>
      <c r="C12" s="20">
        <f t="shared" si="2"/>
        <v>51138.678</v>
      </c>
      <c r="D12" s="26" t="str">
        <f t="shared" si="3"/>
        <v>vis</v>
      </c>
      <c r="E12" s="63">
        <f>VLOOKUP(C12,Active!C$21:E$967,3,FALSE)</f>
        <v>31950.41001683184</v>
      </c>
      <c r="F12" s="6" t="s">
        <v>73</v>
      </c>
      <c r="G12" s="26" t="str">
        <f t="shared" si="4"/>
        <v>51138.6780</v>
      </c>
      <c r="H12" s="20">
        <f t="shared" si="5"/>
        <v>31950.5</v>
      </c>
      <c r="I12" s="64" t="s">
        <v>114</v>
      </c>
      <c r="J12" s="65" t="s">
        <v>115</v>
      </c>
      <c r="K12" s="64">
        <v>31950.5</v>
      </c>
      <c r="L12" s="64" t="s">
        <v>116</v>
      </c>
      <c r="M12" s="65" t="s">
        <v>101</v>
      </c>
      <c r="N12" s="65" t="s">
        <v>102</v>
      </c>
      <c r="O12" s="66" t="s">
        <v>117</v>
      </c>
      <c r="P12" s="67" t="s">
        <v>104</v>
      </c>
    </row>
    <row r="13" spans="1:16" ht="12.75" customHeight="1" thickBot="1" x14ac:dyDescent="0.25">
      <c r="A13" s="20" t="str">
        <f t="shared" si="0"/>
        <v>BAVM 117 </v>
      </c>
      <c r="B13" s="6" t="str">
        <f t="shared" si="1"/>
        <v>I</v>
      </c>
      <c r="C13" s="20">
        <f t="shared" si="2"/>
        <v>51139.511500000001</v>
      </c>
      <c r="D13" s="26" t="str">
        <f t="shared" si="3"/>
        <v>vis</v>
      </c>
      <c r="E13" s="63">
        <f>VLOOKUP(C13,Active!C$21:E$967,3,FALSE)</f>
        <v>31951.905426793415</v>
      </c>
      <c r="F13" s="6" t="s">
        <v>73</v>
      </c>
      <c r="G13" s="26" t="str">
        <f t="shared" si="4"/>
        <v>51139.5115</v>
      </c>
      <c r="H13" s="20">
        <f t="shared" si="5"/>
        <v>31952</v>
      </c>
      <c r="I13" s="64" t="s">
        <v>118</v>
      </c>
      <c r="J13" s="65" t="s">
        <v>119</v>
      </c>
      <c r="K13" s="64">
        <v>31952</v>
      </c>
      <c r="L13" s="64" t="s">
        <v>120</v>
      </c>
      <c r="M13" s="65" t="s">
        <v>101</v>
      </c>
      <c r="N13" s="65" t="s">
        <v>102</v>
      </c>
      <c r="O13" s="66" t="s">
        <v>117</v>
      </c>
      <c r="P13" s="67" t="s">
        <v>104</v>
      </c>
    </row>
    <row r="14" spans="1:16" ht="12.75" customHeight="1" thickBot="1" x14ac:dyDescent="0.25">
      <c r="A14" s="20" t="str">
        <f t="shared" si="0"/>
        <v>BAVM 117 </v>
      </c>
      <c r="B14" s="6" t="str">
        <f t="shared" si="1"/>
        <v>I</v>
      </c>
      <c r="C14" s="20">
        <f t="shared" si="2"/>
        <v>51178.526700000002</v>
      </c>
      <c r="D14" s="26" t="str">
        <f t="shared" si="3"/>
        <v>vis</v>
      </c>
      <c r="E14" s="63">
        <f>VLOOKUP(C14,Active!C$21:E$967,3,FALSE)</f>
        <v>32021.903889580153</v>
      </c>
      <c r="F14" s="6" t="s">
        <v>73</v>
      </c>
      <c r="G14" s="26" t="str">
        <f t="shared" si="4"/>
        <v>51178.5267</v>
      </c>
      <c r="H14" s="20">
        <f t="shared" si="5"/>
        <v>32022</v>
      </c>
      <c r="I14" s="64" t="s">
        <v>121</v>
      </c>
      <c r="J14" s="65" t="s">
        <v>122</v>
      </c>
      <c r="K14" s="64">
        <v>32022</v>
      </c>
      <c r="L14" s="64" t="s">
        <v>123</v>
      </c>
      <c r="M14" s="65" t="s">
        <v>101</v>
      </c>
      <c r="N14" s="65" t="s">
        <v>124</v>
      </c>
      <c r="O14" s="66" t="s">
        <v>103</v>
      </c>
      <c r="P14" s="67" t="s">
        <v>104</v>
      </c>
    </row>
    <row r="15" spans="1:16" ht="12.75" customHeight="1" thickBot="1" x14ac:dyDescent="0.25">
      <c r="A15" s="20" t="str">
        <f t="shared" si="0"/>
        <v>BAVM 152 </v>
      </c>
      <c r="B15" s="6" t="str">
        <f t="shared" si="1"/>
        <v>II</v>
      </c>
      <c r="C15" s="20">
        <f t="shared" si="2"/>
        <v>51899.500200000002</v>
      </c>
      <c r="D15" s="26" t="str">
        <f t="shared" si="3"/>
        <v>vis</v>
      </c>
      <c r="E15" s="63">
        <f>VLOOKUP(C15,Active!C$21:E$967,3,FALSE)</f>
        <v>33315.426329807895</v>
      </c>
      <c r="F15" s="6" t="s">
        <v>73</v>
      </c>
      <c r="G15" s="26" t="str">
        <f t="shared" si="4"/>
        <v>51899.5002</v>
      </c>
      <c r="H15" s="20">
        <f t="shared" si="5"/>
        <v>33315.5</v>
      </c>
      <c r="I15" s="64" t="s">
        <v>142</v>
      </c>
      <c r="J15" s="65" t="s">
        <v>143</v>
      </c>
      <c r="K15" s="64" t="s">
        <v>144</v>
      </c>
      <c r="L15" s="64" t="s">
        <v>145</v>
      </c>
      <c r="M15" s="65" t="s">
        <v>101</v>
      </c>
      <c r="N15" s="65" t="s">
        <v>124</v>
      </c>
      <c r="O15" s="66" t="s">
        <v>103</v>
      </c>
      <c r="P15" s="67" t="s">
        <v>146</v>
      </c>
    </row>
    <row r="16" spans="1:16" ht="12.75" customHeight="1" thickBot="1" x14ac:dyDescent="0.25">
      <c r="A16" s="20" t="str">
        <f t="shared" si="0"/>
        <v>IBVS 5378 </v>
      </c>
      <c r="B16" s="6" t="str">
        <f t="shared" si="1"/>
        <v>I</v>
      </c>
      <c r="C16" s="20">
        <f t="shared" si="2"/>
        <v>52627.733699999997</v>
      </c>
      <c r="D16" s="26" t="str">
        <f t="shared" si="3"/>
        <v>vis</v>
      </c>
      <c r="E16" s="63">
        <f>VLOOKUP(C16,Active!C$21:E$967,3,FALSE)</f>
        <v>34621.974176539537</v>
      </c>
      <c r="F16" s="6" t="s">
        <v>73</v>
      </c>
      <c r="G16" s="26" t="str">
        <f t="shared" si="4"/>
        <v>52627.7337</v>
      </c>
      <c r="H16" s="20">
        <f t="shared" si="5"/>
        <v>34622</v>
      </c>
      <c r="I16" s="64" t="s">
        <v>147</v>
      </c>
      <c r="J16" s="65" t="s">
        <v>148</v>
      </c>
      <c r="K16" s="64" t="s">
        <v>149</v>
      </c>
      <c r="L16" s="64" t="s">
        <v>150</v>
      </c>
      <c r="M16" s="65" t="s">
        <v>101</v>
      </c>
      <c r="N16" s="65" t="s">
        <v>108</v>
      </c>
      <c r="O16" s="66" t="s">
        <v>151</v>
      </c>
      <c r="P16" s="67" t="s">
        <v>152</v>
      </c>
    </row>
    <row r="17" spans="1:16" ht="12.75" customHeight="1" thickBot="1" x14ac:dyDescent="0.25">
      <c r="A17" s="20" t="str">
        <f t="shared" si="0"/>
        <v>BAVM 172 </v>
      </c>
      <c r="B17" s="6" t="str">
        <f t="shared" si="1"/>
        <v>II</v>
      </c>
      <c r="C17" s="20">
        <f t="shared" si="2"/>
        <v>52689.325900000003</v>
      </c>
      <c r="D17" s="26" t="str">
        <f t="shared" si="3"/>
        <v>vis</v>
      </c>
      <c r="E17" s="63">
        <f>VLOOKUP(C17,Active!C$21:E$967,3,FALSE)</f>
        <v>34732.478782940474</v>
      </c>
      <c r="F17" s="6" t="s">
        <v>73</v>
      </c>
      <c r="G17" s="26" t="str">
        <f t="shared" si="4"/>
        <v>52689.3259</v>
      </c>
      <c r="H17" s="20">
        <f t="shared" si="5"/>
        <v>34732.5</v>
      </c>
      <c r="I17" s="64" t="s">
        <v>153</v>
      </c>
      <c r="J17" s="65" t="s">
        <v>154</v>
      </c>
      <c r="K17" s="64" t="s">
        <v>155</v>
      </c>
      <c r="L17" s="64" t="s">
        <v>156</v>
      </c>
      <c r="M17" s="65" t="s">
        <v>101</v>
      </c>
      <c r="N17" s="65" t="s">
        <v>102</v>
      </c>
      <c r="O17" s="66" t="s">
        <v>157</v>
      </c>
      <c r="P17" s="67" t="s">
        <v>158</v>
      </c>
    </row>
    <row r="18" spans="1:16" ht="12.75" customHeight="1" thickBot="1" x14ac:dyDescent="0.25">
      <c r="A18" s="20" t="str">
        <f t="shared" si="0"/>
        <v>IBVS 5603 </v>
      </c>
      <c r="B18" s="6" t="str">
        <f t="shared" si="1"/>
        <v>I</v>
      </c>
      <c r="C18" s="20">
        <f t="shared" si="2"/>
        <v>53082.560799999999</v>
      </c>
      <c r="D18" s="26" t="str">
        <f t="shared" si="3"/>
        <v>vis</v>
      </c>
      <c r="E18" s="63">
        <f>VLOOKUP(C18,Active!C$21:E$967,3,FALSE)</f>
        <v>35437.994543825866</v>
      </c>
      <c r="F18" s="6" t="s">
        <v>73</v>
      </c>
      <c r="G18" s="26" t="str">
        <f t="shared" si="4"/>
        <v>53082.5608</v>
      </c>
      <c r="H18" s="20">
        <f t="shared" si="5"/>
        <v>35438</v>
      </c>
      <c r="I18" s="64" t="s">
        <v>159</v>
      </c>
      <c r="J18" s="65" t="s">
        <v>160</v>
      </c>
      <c r="K18" s="64" t="s">
        <v>161</v>
      </c>
      <c r="L18" s="64" t="s">
        <v>162</v>
      </c>
      <c r="M18" s="65" t="s">
        <v>101</v>
      </c>
      <c r="N18" s="65" t="s">
        <v>108</v>
      </c>
      <c r="O18" s="66" t="s">
        <v>151</v>
      </c>
      <c r="P18" s="67" t="s">
        <v>163</v>
      </c>
    </row>
    <row r="19" spans="1:16" ht="12.75" customHeight="1" thickBot="1" x14ac:dyDescent="0.25">
      <c r="A19" s="20" t="str">
        <f t="shared" si="0"/>
        <v>IBVS 5672 </v>
      </c>
      <c r="B19" s="6" t="str">
        <f t="shared" si="1"/>
        <v>I</v>
      </c>
      <c r="C19" s="20">
        <f t="shared" si="2"/>
        <v>53697.915800000002</v>
      </c>
      <c r="D19" s="26" t="str">
        <f t="shared" si="3"/>
        <v>vis</v>
      </c>
      <c r="E19" s="63">
        <f>VLOOKUP(C19,Active!C$21:E$967,3,FALSE)</f>
        <v>36542.023334351928</v>
      </c>
      <c r="F19" s="6" t="s">
        <v>73</v>
      </c>
      <c r="G19" s="26" t="str">
        <f t="shared" si="4"/>
        <v>53697.9158</v>
      </c>
      <c r="H19" s="20">
        <f t="shared" si="5"/>
        <v>36542</v>
      </c>
      <c r="I19" s="64" t="s">
        <v>164</v>
      </c>
      <c r="J19" s="65" t="s">
        <v>165</v>
      </c>
      <c r="K19" s="64" t="s">
        <v>166</v>
      </c>
      <c r="L19" s="64" t="s">
        <v>167</v>
      </c>
      <c r="M19" s="65" t="s">
        <v>101</v>
      </c>
      <c r="N19" s="65" t="s">
        <v>108</v>
      </c>
      <c r="O19" s="66" t="s">
        <v>168</v>
      </c>
      <c r="P19" s="67" t="s">
        <v>169</v>
      </c>
    </row>
    <row r="20" spans="1:16" ht="12.75" customHeight="1" thickBot="1" x14ac:dyDescent="0.25">
      <c r="A20" s="20" t="str">
        <f t="shared" si="0"/>
        <v>IBVS 5677 </v>
      </c>
      <c r="B20" s="6" t="str">
        <f t="shared" si="1"/>
        <v>I</v>
      </c>
      <c r="C20" s="20">
        <f t="shared" si="2"/>
        <v>53706.8367</v>
      </c>
      <c r="D20" s="26" t="str">
        <f t="shared" si="3"/>
        <v>vis</v>
      </c>
      <c r="E20" s="63">
        <f>VLOOKUP(C20,Active!C$21:E$967,3,FALSE)</f>
        <v>36558.028616566909</v>
      </c>
      <c r="F20" s="6" t="s">
        <v>73</v>
      </c>
      <c r="G20" s="26" t="str">
        <f t="shared" si="4"/>
        <v>53706.8367</v>
      </c>
      <c r="H20" s="20">
        <f t="shared" si="5"/>
        <v>36558</v>
      </c>
      <c r="I20" s="64" t="s">
        <v>170</v>
      </c>
      <c r="J20" s="65" t="s">
        <v>171</v>
      </c>
      <c r="K20" s="64" t="s">
        <v>172</v>
      </c>
      <c r="L20" s="64" t="s">
        <v>173</v>
      </c>
      <c r="M20" s="65" t="s">
        <v>101</v>
      </c>
      <c r="N20" s="65" t="s">
        <v>108</v>
      </c>
      <c r="O20" s="66" t="s">
        <v>174</v>
      </c>
      <c r="P20" s="67" t="s">
        <v>175</v>
      </c>
    </row>
    <row r="21" spans="1:16" ht="12.75" customHeight="1" thickBot="1" x14ac:dyDescent="0.25">
      <c r="A21" s="20" t="str">
        <f t="shared" si="0"/>
        <v>BAVM 178 </v>
      </c>
      <c r="B21" s="6" t="str">
        <f t="shared" si="1"/>
        <v>I</v>
      </c>
      <c r="C21" s="20">
        <f t="shared" si="2"/>
        <v>53780.4035</v>
      </c>
      <c r="D21" s="26" t="str">
        <f t="shared" si="3"/>
        <v>vis</v>
      </c>
      <c r="E21" s="63">
        <f>VLOOKUP(C21,Active!C$21:E$967,3,FALSE)</f>
        <v>36690.017249513541</v>
      </c>
      <c r="F21" s="6" t="s">
        <v>73</v>
      </c>
      <c r="G21" s="26" t="str">
        <f t="shared" si="4"/>
        <v>53780.4035</v>
      </c>
      <c r="H21" s="20">
        <f t="shared" si="5"/>
        <v>36690</v>
      </c>
      <c r="I21" s="64" t="s">
        <v>176</v>
      </c>
      <c r="J21" s="65" t="s">
        <v>177</v>
      </c>
      <c r="K21" s="64" t="s">
        <v>178</v>
      </c>
      <c r="L21" s="64" t="s">
        <v>179</v>
      </c>
      <c r="M21" s="65" t="s">
        <v>180</v>
      </c>
      <c r="N21" s="65" t="s">
        <v>124</v>
      </c>
      <c r="O21" s="66" t="s">
        <v>181</v>
      </c>
      <c r="P21" s="67" t="s">
        <v>182</v>
      </c>
    </row>
    <row r="22" spans="1:16" ht="12.75" customHeight="1" thickBot="1" x14ac:dyDescent="0.25">
      <c r="A22" s="20" t="str">
        <f t="shared" si="0"/>
        <v>BAVM 186 </v>
      </c>
      <c r="B22" s="6" t="str">
        <f t="shared" si="1"/>
        <v>I</v>
      </c>
      <c r="C22" s="20">
        <f t="shared" si="2"/>
        <v>54154.417800000003</v>
      </c>
      <c r="D22" s="26" t="str">
        <f t="shared" si="3"/>
        <v>vis</v>
      </c>
      <c r="E22" s="63">
        <f>VLOOKUP(C22,Active!C$21:E$967,3,FALSE)</f>
        <v>37361.048695213103</v>
      </c>
      <c r="F22" s="6" t="s">
        <v>73</v>
      </c>
      <c r="G22" s="26" t="str">
        <f t="shared" si="4"/>
        <v>54154.4178</v>
      </c>
      <c r="H22" s="20">
        <f t="shared" si="5"/>
        <v>37361</v>
      </c>
      <c r="I22" s="64" t="s">
        <v>183</v>
      </c>
      <c r="J22" s="65" t="s">
        <v>184</v>
      </c>
      <c r="K22" s="64" t="s">
        <v>185</v>
      </c>
      <c r="L22" s="64" t="s">
        <v>186</v>
      </c>
      <c r="M22" s="65" t="s">
        <v>180</v>
      </c>
      <c r="N22" s="65" t="s">
        <v>124</v>
      </c>
      <c r="O22" s="66" t="s">
        <v>187</v>
      </c>
      <c r="P22" s="67" t="s">
        <v>188</v>
      </c>
    </row>
    <row r="23" spans="1:16" ht="12.75" customHeight="1" thickBot="1" x14ac:dyDescent="0.25">
      <c r="A23" s="20" t="str">
        <f t="shared" si="0"/>
        <v>IBVS 5871 </v>
      </c>
      <c r="B23" s="6" t="str">
        <f t="shared" si="1"/>
        <v>II</v>
      </c>
      <c r="C23" s="20">
        <f t="shared" si="2"/>
        <v>54811.853499999997</v>
      </c>
      <c r="D23" s="26" t="str">
        <f t="shared" si="3"/>
        <v>vis</v>
      </c>
      <c r="E23" s="63">
        <f>VLOOKUP(C23,Active!C$21:E$967,3,FALSE)</f>
        <v>38540.575863627506</v>
      </c>
      <c r="F23" s="6" t="s">
        <v>73</v>
      </c>
      <c r="G23" s="26" t="str">
        <f t="shared" si="4"/>
        <v>54811.8535</v>
      </c>
      <c r="H23" s="20">
        <f t="shared" si="5"/>
        <v>38540.5</v>
      </c>
      <c r="I23" s="64" t="s">
        <v>195</v>
      </c>
      <c r="J23" s="65" t="s">
        <v>196</v>
      </c>
      <c r="K23" s="64" t="s">
        <v>197</v>
      </c>
      <c r="L23" s="64" t="s">
        <v>198</v>
      </c>
      <c r="M23" s="65" t="s">
        <v>180</v>
      </c>
      <c r="N23" s="65" t="s">
        <v>73</v>
      </c>
      <c r="O23" s="66" t="s">
        <v>199</v>
      </c>
      <c r="P23" s="67" t="s">
        <v>200</v>
      </c>
    </row>
    <row r="24" spans="1:16" ht="12.75" customHeight="1" thickBot="1" x14ac:dyDescent="0.25">
      <c r="A24" s="20" t="str">
        <f t="shared" si="0"/>
        <v>BAVM 209 </v>
      </c>
      <c r="B24" s="6" t="str">
        <f t="shared" si="1"/>
        <v>I</v>
      </c>
      <c r="C24" s="20">
        <f t="shared" si="2"/>
        <v>54840.559300000001</v>
      </c>
      <c r="D24" s="26" t="str">
        <f t="shared" si="3"/>
        <v>vis</v>
      </c>
      <c r="E24" s="63">
        <f>VLOOKUP(C24,Active!C$21:E$967,3,FALSE)</f>
        <v>38592.077890352062</v>
      </c>
      <c r="F24" s="6" t="s">
        <v>73</v>
      </c>
      <c r="G24" s="26" t="str">
        <f t="shared" si="4"/>
        <v>54840.5593</v>
      </c>
      <c r="H24" s="20">
        <f t="shared" si="5"/>
        <v>38592</v>
      </c>
      <c r="I24" s="64" t="s">
        <v>212</v>
      </c>
      <c r="J24" s="65" t="s">
        <v>213</v>
      </c>
      <c r="K24" s="64" t="s">
        <v>214</v>
      </c>
      <c r="L24" s="64" t="s">
        <v>215</v>
      </c>
      <c r="M24" s="65" t="s">
        <v>180</v>
      </c>
      <c r="N24" s="65" t="s">
        <v>124</v>
      </c>
      <c r="O24" s="66" t="s">
        <v>187</v>
      </c>
      <c r="P24" s="67" t="s">
        <v>216</v>
      </c>
    </row>
    <row r="25" spans="1:16" ht="12.75" customHeight="1" thickBot="1" x14ac:dyDescent="0.25">
      <c r="A25" s="20" t="str">
        <f t="shared" si="0"/>
        <v>BAVM 209 </v>
      </c>
      <c r="B25" s="6" t="str">
        <f t="shared" si="1"/>
        <v>II</v>
      </c>
      <c r="C25" s="20">
        <f t="shared" si="2"/>
        <v>54841.401599999997</v>
      </c>
      <c r="D25" s="26" t="str">
        <f t="shared" si="3"/>
        <v>vis</v>
      </c>
      <c r="E25" s="63">
        <f>VLOOKUP(C25,Active!C$21:E$967,3,FALSE)</f>
        <v>38593.589088685148</v>
      </c>
      <c r="F25" s="6" t="s">
        <v>73</v>
      </c>
      <c r="G25" s="26" t="str">
        <f t="shared" si="4"/>
        <v>54841.4016</v>
      </c>
      <c r="H25" s="20">
        <f t="shared" si="5"/>
        <v>38593.5</v>
      </c>
      <c r="I25" s="64" t="s">
        <v>217</v>
      </c>
      <c r="J25" s="65" t="s">
        <v>218</v>
      </c>
      <c r="K25" s="64" t="s">
        <v>219</v>
      </c>
      <c r="L25" s="64" t="s">
        <v>220</v>
      </c>
      <c r="M25" s="65" t="s">
        <v>180</v>
      </c>
      <c r="N25" s="65" t="s">
        <v>124</v>
      </c>
      <c r="O25" s="66" t="s">
        <v>187</v>
      </c>
      <c r="P25" s="67" t="s">
        <v>216</v>
      </c>
    </row>
    <row r="26" spans="1:16" ht="12.75" customHeight="1" thickBot="1" x14ac:dyDescent="0.25">
      <c r="A26" s="20" t="str">
        <f t="shared" si="0"/>
        <v>IBVS 5894 </v>
      </c>
      <c r="B26" s="6" t="str">
        <f t="shared" si="1"/>
        <v>II</v>
      </c>
      <c r="C26" s="20">
        <f t="shared" si="2"/>
        <v>54887.662700000001</v>
      </c>
      <c r="D26" s="26" t="str">
        <f t="shared" si="3"/>
        <v>vis</v>
      </c>
      <c r="E26" s="63">
        <f>VLOOKUP(C26,Active!C$21:E$967,3,FALSE)</f>
        <v>38676.587660698715</v>
      </c>
      <c r="F26" s="6" t="s">
        <v>73</v>
      </c>
      <c r="G26" s="26" t="str">
        <f t="shared" si="4"/>
        <v>54887.6627</v>
      </c>
      <c r="H26" s="20">
        <f t="shared" si="5"/>
        <v>38676.5</v>
      </c>
      <c r="I26" s="64" t="s">
        <v>221</v>
      </c>
      <c r="J26" s="65" t="s">
        <v>222</v>
      </c>
      <c r="K26" s="64" t="s">
        <v>223</v>
      </c>
      <c r="L26" s="64" t="s">
        <v>224</v>
      </c>
      <c r="M26" s="65" t="s">
        <v>180</v>
      </c>
      <c r="N26" s="65" t="s">
        <v>73</v>
      </c>
      <c r="O26" s="66" t="s">
        <v>199</v>
      </c>
      <c r="P26" s="67" t="s">
        <v>225</v>
      </c>
    </row>
    <row r="27" spans="1:16" ht="12.75" customHeight="1" thickBot="1" x14ac:dyDescent="0.25">
      <c r="A27" s="20" t="str">
        <f t="shared" si="0"/>
        <v>IBVS 5945 </v>
      </c>
      <c r="B27" s="6" t="str">
        <f t="shared" si="1"/>
        <v>I</v>
      </c>
      <c r="C27" s="20">
        <f t="shared" si="2"/>
        <v>55259.719499999999</v>
      </c>
      <c r="D27" s="26" t="str">
        <f t="shared" si="3"/>
        <v>vis</v>
      </c>
      <c r="E27" s="63">
        <f>VLOOKUP(C27,Active!C$21:E$967,3,FALSE)</f>
        <v>39344.107090801655</v>
      </c>
      <c r="F27" s="6" t="s">
        <v>73</v>
      </c>
      <c r="G27" s="26" t="str">
        <f t="shared" si="4"/>
        <v>55259.7195</v>
      </c>
      <c r="H27" s="20">
        <f t="shared" si="5"/>
        <v>39344</v>
      </c>
      <c r="I27" s="64" t="s">
        <v>226</v>
      </c>
      <c r="J27" s="65" t="s">
        <v>227</v>
      </c>
      <c r="K27" s="64" t="s">
        <v>228</v>
      </c>
      <c r="L27" s="64" t="s">
        <v>229</v>
      </c>
      <c r="M27" s="65" t="s">
        <v>180</v>
      </c>
      <c r="N27" s="65" t="s">
        <v>73</v>
      </c>
      <c r="O27" s="66" t="s">
        <v>199</v>
      </c>
      <c r="P27" s="67" t="s">
        <v>230</v>
      </c>
    </row>
    <row r="28" spans="1:16" ht="12.75" customHeight="1" thickBot="1" x14ac:dyDescent="0.25">
      <c r="A28" s="20" t="str">
        <f t="shared" si="0"/>
        <v>BAVM 228 </v>
      </c>
      <c r="B28" s="6" t="str">
        <f t="shared" si="1"/>
        <v>I</v>
      </c>
      <c r="C28" s="20">
        <f t="shared" si="2"/>
        <v>55980.4254</v>
      </c>
      <c r="D28" s="26" t="str">
        <f t="shared" si="3"/>
        <v>vis</v>
      </c>
      <c r="E28" s="63">
        <f>VLOOKUP(C28,Active!C$21:E$967,3,FALSE)</f>
        <v>40637.149421004535</v>
      </c>
      <c r="F28" s="6" t="s">
        <v>73</v>
      </c>
      <c r="G28" s="26" t="str">
        <f t="shared" si="4"/>
        <v>55980.4254</v>
      </c>
      <c r="H28" s="20">
        <f t="shared" si="5"/>
        <v>40637</v>
      </c>
      <c r="I28" s="64" t="s">
        <v>231</v>
      </c>
      <c r="J28" s="65" t="s">
        <v>232</v>
      </c>
      <c r="K28" s="64" t="s">
        <v>233</v>
      </c>
      <c r="L28" s="64" t="s">
        <v>234</v>
      </c>
      <c r="M28" s="65" t="s">
        <v>180</v>
      </c>
      <c r="N28" s="65" t="s">
        <v>124</v>
      </c>
      <c r="O28" s="66" t="s">
        <v>187</v>
      </c>
      <c r="P28" s="67" t="s">
        <v>235</v>
      </c>
    </row>
    <row r="29" spans="1:16" ht="12.75" customHeight="1" thickBot="1" x14ac:dyDescent="0.25">
      <c r="A29" s="20" t="str">
        <f t="shared" si="0"/>
        <v>BAVM 241 (=IBVS 6157) </v>
      </c>
      <c r="B29" s="6" t="str">
        <f t="shared" si="1"/>
        <v>I</v>
      </c>
      <c r="C29" s="20">
        <f t="shared" si="2"/>
        <v>57064.109600000003</v>
      </c>
      <c r="D29" s="26" t="str">
        <f t="shared" si="3"/>
        <v>vis</v>
      </c>
      <c r="E29" s="63">
        <f>VLOOKUP(C29,Active!C$21:E$967,3,FALSE)</f>
        <v>42581.423143714521</v>
      </c>
      <c r="F29" s="6" t="s">
        <v>73</v>
      </c>
      <c r="G29" s="26" t="str">
        <f t="shared" si="4"/>
        <v>57064.1096</v>
      </c>
      <c r="H29" s="20">
        <f t="shared" si="5"/>
        <v>42581</v>
      </c>
      <c r="I29" s="64" t="s">
        <v>236</v>
      </c>
      <c r="J29" s="65" t="s">
        <v>237</v>
      </c>
      <c r="K29" s="64" t="s">
        <v>238</v>
      </c>
      <c r="L29" s="64" t="s">
        <v>239</v>
      </c>
      <c r="M29" s="65" t="s">
        <v>180</v>
      </c>
      <c r="N29" s="65" t="s">
        <v>73</v>
      </c>
      <c r="O29" s="66" t="s">
        <v>240</v>
      </c>
      <c r="P29" s="67" t="s">
        <v>241</v>
      </c>
    </row>
    <row r="30" spans="1:16" ht="12.75" customHeight="1" thickBot="1" x14ac:dyDescent="0.25">
      <c r="A30" s="20" t="str">
        <f t="shared" si="0"/>
        <v> AHSB 7.7.365 </v>
      </c>
      <c r="B30" s="6" t="str">
        <f t="shared" si="1"/>
        <v>I</v>
      </c>
      <c r="C30" s="20">
        <f t="shared" si="2"/>
        <v>29691.323</v>
      </c>
      <c r="D30" s="26" t="str">
        <f t="shared" si="3"/>
        <v>vis</v>
      </c>
      <c r="E30" s="63">
        <f>VLOOKUP(C30,Active!C$21:E$967,3,FALSE)</f>
        <v>-6529.0000808077557</v>
      </c>
      <c r="F30" s="6" t="s">
        <v>73</v>
      </c>
      <c r="G30" s="26" t="str">
        <f t="shared" si="4"/>
        <v>29691.323</v>
      </c>
      <c r="H30" s="20">
        <f t="shared" si="5"/>
        <v>-6529</v>
      </c>
      <c r="I30" s="64" t="s">
        <v>76</v>
      </c>
      <c r="J30" s="65" t="s">
        <v>77</v>
      </c>
      <c r="K30" s="64">
        <v>-6529</v>
      </c>
      <c r="L30" s="64" t="s">
        <v>78</v>
      </c>
      <c r="M30" s="65" t="s">
        <v>75</v>
      </c>
      <c r="N30" s="65"/>
      <c r="O30" s="66" t="s">
        <v>79</v>
      </c>
      <c r="P30" s="66" t="s">
        <v>80</v>
      </c>
    </row>
    <row r="31" spans="1:16" ht="12.75" customHeight="1" thickBot="1" x14ac:dyDescent="0.25">
      <c r="A31" s="20" t="str">
        <f t="shared" si="0"/>
        <v> AHSB 7.7.365 </v>
      </c>
      <c r="B31" s="6" t="str">
        <f t="shared" si="1"/>
        <v>I</v>
      </c>
      <c r="C31" s="20">
        <f t="shared" si="2"/>
        <v>30085.383000000002</v>
      </c>
      <c r="D31" s="26" t="str">
        <f t="shared" si="3"/>
        <v>vis</v>
      </c>
      <c r="E31" s="63">
        <f>VLOOKUP(C31,Active!C$21:E$967,3,FALSE)</f>
        <v>-5822.0039806790492</v>
      </c>
      <c r="F31" s="6" t="s">
        <v>73</v>
      </c>
      <c r="G31" s="26" t="str">
        <f t="shared" si="4"/>
        <v>30085.383</v>
      </c>
      <c r="H31" s="20">
        <f t="shared" si="5"/>
        <v>-5822</v>
      </c>
      <c r="I31" s="64" t="s">
        <v>81</v>
      </c>
      <c r="J31" s="65" t="s">
        <v>82</v>
      </c>
      <c r="K31" s="64">
        <v>-5822</v>
      </c>
      <c r="L31" s="64" t="s">
        <v>83</v>
      </c>
      <c r="M31" s="65" t="s">
        <v>75</v>
      </c>
      <c r="N31" s="65"/>
      <c r="O31" s="66" t="s">
        <v>79</v>
      </c>
      <c r="P31" s="66" t="s">
        <v>80</v>
      </c>
    </row>
    <row r="32" spans="1:16" ht="12.75" customHeight="1" thickBot="1" x14ac:dyDescent="0.25">
      <c r="A32" s="20" t="str">
        <f t="shared" si="0"/>
        <v> AHSB 7.7.365 </v>
      </c>
      <c r="B32" s="6" t="str">
        <f t="shared" si="1"/>
        <v>II</v>
      </c>
      <c r="C32" s="20">
        <f t="shared" si="2"/>
        <v>32939.400999999998</v>
      </c>
      <c r="D32" s="26" t="str">
        <f t="shared" si="3"/>
        <v>vis</v>
      </c>
      <c r="E32" s="63">
        <f>VLOOKUP(C32,Active!C$21:E$967,3,FALSE)</f>
        <v>-701.51574107817396</v>
      </c>
      <c r="F32" s="6" t="s">
        <v>73</v>
      </c>
      <c r="G32" s="26" t="str">
        <f t="shared" si="4"/>
        <v>32939.401</v>
      </c>
      <c r="H32" s="20">
        <f t="shared" si="5"/>
        <v>-701.5</v>
      </c>
      <c r="I32" s="64" t="s">
        <v>84</v>
      </c>
      <c r="J32" s="65" t="s">
        <v>85</v>
      </c>
      <c r="K32" s="64">
        <v>-701.5</v>
      </c>
      <c r="L32" s="64" t="s">
        <v>86</v>
      </c>
      <c r="M32" s="65" t="s">
        <v>75</v>
      </c>
      <c r="N32" s="65"/>
      <c r="O32" s="66" t="s">
        <v>79</v>
      </c>
      <c r="P32" s="66" t="s">
        <v>80</v>
      </c>
    </row>
    <row r="33" spans="1:16" ht="12.75" customHeight="1" thickBot="1" x14ac:dyDescent="0.25">
      <c r="A33" s="20" t="str">
        <f t="shared" si="0"/>
        <v> AHSB 7.7.365 </v>
      </c>
      <c r="B33" s="6" t="str">
        <f t="shared" si="1"/>
        <v>I</v>
      </c>
      <c r="C33" s="20">
        <f t="shared" si="2"/>
        <v>33330.409</v>
      </c>
      <c r="D33" s="26" t="str">
        <f t="shared" si="3"/>
        <v>vis</v>
      </c>
      <c r="E33" s="63">
        <f>VLOOKUP(C33,Active!C$21:E$967,3,FALSE)</f>
        <v>4.664746130525076E-3</v>
      </c>
      <c r="F33" s="6" t="s">
        <v>73</v>
      </c>
      <c r="G33" s="26" t="str">
        <f t="shared" si="4"/>
        <v>33330.409</v>
      </c>
      <c r="H33" s="20">
        <f t="shared" si="5"/>
        <v>0</v>
      </c>
      <c r="I33" s="64" t="s">
        <v>87</v>
      </c>
      <c r="J33" s="65" t="s">
        <v>88</v>
      </c>
      <c r="K33" s="64">
        <v>0</v>
      </c>
      <c r="L33" s="64" t="s">
        <v>89</v>
      </c>
      <c r="M33" s="65" t="s">
        <v>75</v>
      </c>
      <c r="N33" s="65"/>
      <c r="O33" s="66" t="s">
        <v>79</v>
      </c>
      <c r="P33" s="66" t="s">
        <v>80</v>
      </c>
    </row>
    <row r="34" spans="1:16" ht="12.75" customHeight="1" thickBot="1" x14ac:dyDescent="0.25">
      <c r="A34" s="20" t="str">
        <f t="shared" si="0"/>
        <v> AHSB 7.7.365 </v>
      </c>
      <c r="B34" s="6" t="str">
        <f t="shared" si="1"/>
        <v>I</v>
      </c>
      <c r="C34" s="20">
        <f t="shared" si="2"/>
        <v>34748.36</v>
      </c>
      <c r="D34" s="26" t="str">
        <f t="shared" si="3"/>
        <v>vis</v>
      </c>
      <c r="E34" s="63">
        <f>VLOOKUP(C34,Active!C$21:E$967,3,FALSE)</f>
        <v>2543.9975266798374</v>
      </c>
      <c r="F34" s="6" t="s">
        <v>73</v>
      </c>
      <c r="G34" s="26" t="str">
        <f t="shared" si="4"/>
        <v>34748.360</v>
      </c>
      <c r="H34" s="20">
        <f t="shared" si="5"/>
        <v>2544</v>
      </c>
      <c r="I34" s="64" t="s">
        <v>90</v>
      </c>
      <c r="J34" s="65" t="s">
        <v>91</v>
      </c>
      <c r="K34" s="64">
        <v>2544</v>
      </c>
      <c r="L34" s="64" t="s">
        <v>92</v>
      </c>
      <c r="M34" s="65" t="s">
        <v>75</v>
      </c>
      <c r="N34" s="65"/>
      <c r="O34" s="66" t="s">
        <v>79</v>
      </c>
      <c r="P34" s="66" t="s">
        <v>80</v>
      </c>
    </row>
    <row r="35" spans="1:16" ht="12.75" customHeight="1" thickBot="1" x14ac:dyDescent="0.25">
      <c r="A35" s="20" t="str">
        <f t="shared" si="0"/>
        <v> AHSB 7.7.365 </v>
      </c>
      <c r="B35" s="6" t="str">
        <f t="shared" si="1"/>
        <v>II</v>
      </c>
      <c r="C35" s="20">
        <f t="shared" si="2"/>
        <v>35164.447</v>
      </c>
      <c r="D35" s="26" t="str">
        <f t="shared" si="3"/>
        <v>vis</v>
      </c>
      <c r="E35" s="63">
        <f>VLOOKUP(C35,Active!C$21:E$967,3,FALSE)</f>
        <v>3290.5129972027316</v>
      </c>
      <c r="F35" s="6" t="s">
        <v>73</v>
      </c>
      <c r="G35" s="26" t="str">
        <f t="shared" si="4"/>
        <v>35164.447</v>
      </c>
      <c r="H35" s="20">
        <f t="shared" si="5"/>
        <v>3290.5</v>
      </c>
      <c r="I35" s="64" t="s">
        <v>93</v>
      </c>
      <c r="J35" s="65" t="s">
        <v>94</v>
      </c>
      <c r="K35" s="64">
        <v>3290.5</v>
      </c>
      <c r="L35" s="64" t="s">
        <v>95</v>
      </c>
      <c r="M35" s="65" t="s">
        <v>75</v>
      </c>
      <c r="N35" s="65"/>
      <c r="O35" s="66" t="s">
        <v>79</v>
      </c>
      <c r="P35" s="66" t="s">
        <v>80</v>
      </c>
    </row>
    <row r="36" spans="1:16" ht="12.75" customHeight="1" thickBot="1" x14ac:dyDescent="0.25">
      <c r="A36" s="20" t="str">
        <f t="shared" si="0"/>
        <v> AHSB 7.7.365 </v>
      </c>
      <c r="B36" s="6" t="str">
        <f t="shared" si="1"/>
        <v>I</v>
      </c>
      <c r="C36" s="20">
        <f t="shared" si="2"/>
        <v>36983.423000000003</v>
      </c>
      <c r="D36" s="26" t="str">
        <f t="shared" si="3"/>
        <v>vis</v>
      </c>
      <c r="E36" s="63">
        <f>VLOOKUP(C36,Active!C$21:E$967,3,FALSE)</f>
        <v>6553.9980964965225</v>
      </c>
      <c r="F36" s="6" t="s">
        <v>73</v>
      </c>
      <c r="G36" s="26" t="str">
        <f t="shared" si="4"/>
        <v>36983.423</v>
      </c>
      <c r="H36" s="20">
        <f t="shared" si="5"/>
        <v>6554</v>
      </c>
      <c r="I36" s="64" t="s">
        <v>96</v>
      </c>
      <c r="J36" s="65" t="s">
        <v>97</v>
      </c>
      <c r="K36" s="64">
        <v>6554</v>
      </c>
      <c r="L36" s="64" t="s">
        <v>92</v>
      </c>
      <c r="M36" s="65" t="s">
        <v>75</v>
      </c>
      <c r="N36" s="65"/>
      <c r="O36" s="66" t="s">
        <v>79</v>
      </c>
      <c r="P36" s="66" t="s">
        <v>80</v>
      </c>
    </row>
    <row r="37" spans="1:16" ht="12.75" customHeight="1" thickBot="1" x14ac:dyDescent="0.25">
      <c r="A37" s="20" t="str">
        <f t="shared" si="0"/>
        <v>IBVS 5507 </v>
      </c>
      <c r="B37" s="6" t="str">
        <f t="shared" si="1"/>
        <v>II</v>
      </c>
      <c r="C37" s="20">
        <f t="shared" si="2"/>
        <v>51128.642500000002</v>
      </c>
      <c r="D37" s="26" t="str">
        <f t="shared" si="3"/>
        <v>vis</v>
      </c>
      <c r="E37" s="63" t="e">
        <f>VLOOKUP(C37,Active!C$21:E$967,3,FALSE)</f>
        <v>#N/A</v>
      </c>
      <c r="F37" s="6" t="s">
        <v>73</v>
      </c>
      <c r="G37" s="26" t="str">
        <f t="shared" si="4"/>
        <v>51128.6425</v>
      </c>
      <c r="H37" s="20">
        <f t="shared" si="5"/>
        <v>31932.5</v>
      </c>
      <c r="I37" s="64" t="s">
        <v>105</v>
      </c>
      <c r="J37" s="65" t="s">
        <v>106</v>
      </c>
      <c r="K37" s="64">
        <v>31932.5</v>
      </c>
      <c r="L37" s="64" t="s">
        <v>107</v>
      </c>
      <c r="M37" s="65" t="s">
        <v>101</v>
      </c>
      <c r="N37" s="65" t="s">
        <v>108</v>
      </c>
      <c r="O37" s="66" t="s">
        <v>109</v>
      </c>
      <c r="P37" s="67" t="s">
        <v>110</v>
      </c>
    </row>
    <row r="38" spans="1:16" ht="12.75" customHeight="1" thickBot="1" x14ac:dyDescent="0.25">
      <c r="A38" s="20" t="str">
        <f t="shared" si="0"/>
        <v>IBVS 5507 </v>
      </c>
      <c r="B38" s="6" t="str">
        <f t="shared" si="1"/>
        <v>I</v>
      </c>
      <c r="C38" s="20">
        <f t="shared" si="2"/>
        <v>51128.923199999997</v>
      </c>
      <c r="D38" s="26" t="str">
        <f t="shared" si="3"/>
        <v>vis</v>
      </c>
      <c r="E38" s="63" t="e">
        <f>VLOOKUP(C38,Active!C$21:E$967,3,FALSE)</f>
        <v>#N/A</v>
      </c>
      <c r="F38" s="6" t="s">
        <v>73</v>
      </c>
      <c r="G38" s="26" t="str">
        <f t="shared" si="4"/>
        <v>51128.9232</v>
      </c>
      <c r="H38" s="20">
        <f t="shared" si="5"/>
        <v>31933</v>
      </c>
      <c r="I38" s="64" t="s">
        <v>111</v>
      </c>
      <c r="J38" s="65" t="s">
        <v>112</v>
      </c>
      <c r="K38" s="64">
        <v>31933</v>
      </c>
      <c r="L38" s="64" t="s">
        <v>113</v>
      </c>
      <c r="M38" s="65" t="s">
        <v>101</v>
      </c>
      <c r="N38" s="65" t="s">
        <v>108</v>
      </c>
      <c r="O38" s="66" t="s">
        <v>109</v>
      </c>
      <c r="P38" s="67" t="s">
        <v>110</v>
      </c>
    </row>
    <row r="39" spans="1:16" ht="12.75" customHeight="1" thickBot="1" x14ac:dyDescent="0.25">
      <c r="A39" s="20" t="str">
        <f t="shared" si="0"/>
        <v>IBVS 5507 </v>
      </c>
      <c r="B39" s="6" t="str">
        <f t="shared" si="1"/>
        <v>II</v>
      </c>
      <c r="C39" s="20">
        <f t="shared" si="2"/>
        <v>51213.926599999999</v>
      </c>
      <c r="D39" s="26" t="str">
        <f t="shared" si="3"/>
        <v>vis</v>
      </c>
      <c r="E39" s="63" t="e">
        <f>VLOOKUP(C39,Active!C$21:E$967,3,FALSE)</f>
        <v>#N/A</v>
      </c>
      <c r="F39" s="6" t="s">
        <v>73</v>
      </c>
      <c r="G39" s="26" t="str">
        <f t="shared" si="4"/>
        <v>51213.9266</v>
      </c>
      <c r="H39" s="20">
        <f t="shared" si="5"/>
        <v>32085.5</v>
      </c>
      <c r="I39" s="64" t="s">
        <v>125</v>
      </c>
      <c r="J39" s="65" t="s">
        <v>126</v>
      </c>
      <c r="K39" s="64" t="s">
        <v>127</v>
      </c>
      <c r="L39" s="64" t="s">
        <v>128</v>
      </c>
      <c r="M39" s="65" t="s">
        <v>101</v>
      </c>
      <c r="N39" s="65" t="s">
        <v>108</v>
      </c>
      <c r="O39" s="66" t="s">
        <v>109</v>
      </c>
      <c r="P39" s="67" t="s">
        <v>110</v>
      </c>
    </row>
    <row r="40" spans="1:16" ht="12.75" customHeight="1" thickBot="1" x14ac:dyDescent="0.25">
      <c r="A40" s="20" t="str">
        <f t="shared" si="0"/>
        <v>IBVS 5507 </v>
      </c>
      <c r="B40" s="6" t="str">
        <f t="shared" si="1"/>
        <v>I</v>
      </c>
      <c r="C40" s="20">
        <f t="shared" si="2"/>
        <v>51214.199699999997</v>
      </c>
      <c r="D40" s="26" t="str">
        <f t="shared" si="3"/>
        <v>vis</v>
      </c>
      <c r="E40" s="63" t="e">
        <f>VLOOKUP(C40,Active!C$21:E$967,3,FALSE)</f>
        <v>#N/A</v>
      </c>
      <c r="F40" s="6" t="s">
        <v>73</v>
      </c>
      <c r="G40" s="26" t="str">
        <f t="shared" si="4"/>
        <v>51214.1997</v>
      </c>
      <c r="H40" s="20">
        <f t="shared" si="5"/>
        <v>32086</v>
      </c>
      <c r="I40" s="64" t="s">
        <v>129</v>
      </c>
      <c r="J40" s="65" t="s">
        <v>130</v>
      </c>
      <c r="K40" s="64" t="s">
        <v>131</v>
      </c>
      <c r="L40" s="64" t="s">
        <v>132</v>
      </c>
      <c r="M40" s="65" t="s">
        <v>101</v>
      </c>
      <c r="N40" s="65" t="s">
        <v>108</v>
      </c>
      <c r="O40" s="66" t="s">
        <v>109</v>
      </c>
      <c r="P40" s="67" t="s">
        <v>110</v>
      </c>
    </row>
    <row r="41" spans="1:16" ht="12.75" customHeight="1" thickBot="1" x14ac:dyDescent="0.25">
      <c r="A41" s="20" t="str">
        <f t="shared" si="0"/>
        <v>IBVS 5507 </v>
      </c>
      <c r="B41" s="6" t="str">
        <f t="shared" si="1"/>
        <v>II</v>
      </c>
      <c r="C41" s="20">
        <f t="shared" si="2"/>
        <v>51501.530500000001</v>
      </c>
      <c r="D41" s="26" t="str">
        <f t="shared" si="3"/>
        <v>vis</v>
      </c>
      <c r="E41" s="63" t="e">
        <f>VLOOKUP(C41,Active!C$21:E$967,3,FALSE)</f>
        <v>#N/A</v>
      </c>
      <c r="F41" s="6" t="s">
        <v>73</v>
      </c>
      <c r="G41" s="26" t="str">
        <f t="shared" si="4"/>
        <v>51501.5305</v>
      </c>
      <c r="H41" s="20">
        <f t="shared" si="5"/>
        <v>32601.5</v>
      </c>
      <c r="I41" s="64" t="s">
        <v>133</v>
      </c>
      <c r="J41" s="65" t="s">
        <v>134</v>
      </c>
      <c r="K41" s="64" t="s">
        <v>135</v>
      </c>
      <c r="L41" s="64" t="s">
        <v>136</v>
      </c>
      <c r="M41" s="65" t="s">
        <v>101</v>
      </c>
      <c r="N41" s="65" t="s">
        <v>108</v>
      </c>
      <c r="O41" s="66" t="s">
        <v>137</v>
      </c>
      <c r="P41" s="67" t="s">
        <v>110</v>
      </c>
    </row>
    <row r="42" spans="1:16" ht="12.75" customHeight="1" thickBot="1" x14ac:dyDescent="0.25">
      <c r="A42" s="20" t="str">
        <f t="shared" si="0"/>
        <v>IBVS 5507 </v>
      </c>
      <c r="B42" s="6" t="str">
        <f t="shared" si="1"/>
        <v>I</v>
      </c>
      <c r="C42" s="20">
        <f t="shared" si="2"/>
        <v>51501.811099999999</v>
      </c>
      <c r="D42" s="26" t="str">
        <f t="shared" si="3"/>
        <v>vis</v>
      </c>
      <c r="E42" s="63" t="e">
        <f>VLOOKUP(C42,Active!C$21:E$967,3,FALSE)</f>
        <v>#N/A</v>
      </c>
      <c r="F42" s="6" t="s">
        <v>73</v>
      </c>
      <c r="G42" s="26" t="str">
        <f t="shared" si="4"/>
        <v>51501.8111</v>
      </c>
      <c r="H42" s="20">
        <f t="shared" si="5"/>
        <v>32602</v>
      </c>
      <c r="I42" s="64" t="s">
        <v>138</v>
      </c>
      <c r="J42" s="65" t="s">
        <v>139</v>
      </c>
      <c r="K42" s="64" t="s">
        <v>140</v>
      </c>
      <c r="L42" s="64" t="s">
        <v>141</v>
      </c>
      <c r="M42" s="65" t="s">
        <v>101</v>
      </c>
      <c r="N42" s="65" t="s">
        <v>108</v>
      </c>
      <c r="O42" s="66" t="s">
        <v>109</v>
      </c>
      <c r="P42" s="67" t="s">
        <v>110</v>
      </c>
    </row>
    <row r="43" spans="1:16" ht="12.75" customHeight="1" thickBot="1" x14ac:dyDescent="0.25">
      <c r="A43" s="20" t="str">
        <f t="shared" si="0"/>
        <v>BAVM 203 </v>
      </c>
      <c r="B43" s="6" t="str">
        <f t="shared" si="1"/>
        <v>II</v>
      </c>
      <c r="C43" s="20">
        <f t="shared" si="2"/>
        <v>54453.456200000001</v>
      </c>
      <c r="D43" s="26" t="str">
        <f t="shared" si="3"/>
        <v>vis</v>
      </c>
      <c r="E43" s="63">
        <f>VLOOKUP(C43,Active!C$21:E$967,3,FALSE)</f>
        <v>37897.563394976401</v>
      </c>
      <c r="F43" s="6" t="s">
        <v>73</v>
      </c>
      <c r="G43" s="26" t="str">
        <f t="shared" si="4"/>
        <v>54453.4562</v>
      </c>
      <c r="H43" s="20">
        <f t="shared" si="5"/>
        <v>37897.5</v>
      </c>
      <c r="I43" s="64" t="s">
        <v>189</v>
      </c>
      <c r="J43" s="65" t="s">
        <v>190</v>
      </c>
      <c r="K43" s="64" t="s">
        <v>191</v>
      </c>
      <c r="L43" s="64" t="s">
        <v>192</v>
      </c>
      <c r="M43" s="65" t="s">
        <v>180</v>
      </c>
      <c r="N43" s="65" t="s">
        <v>102</v>
      </c>
      <c r="O43" s="66" t="s">
        <v>193</v>
      </c>
      <c r="P43" s="67" t="s">
        <v>194</v>
      </c>
    </row>
    <row r="44" spans="1:16" ht="12.75" customHeight="1" thickBot="1" x14ac:dyDescent="0.25">
      <c r="A44" s="20" t="str">
        <f t="shared" si="0"/>
        <v>BAVM 203 </v>
      </c>
      <c r="B44" s="6" t="str">
        <f t="shared" si="1"/>
        <v>I</v>
      </c>
      <c r="C44" s="20">
        <f t="shared" si="2"/>
        <v>54815.48</v>
      </c>
      <c r="D44" s="26" t="str">
        <f t="shared" si="3"/>
        <v>vis</v>
      </c>
      <c r="E44" s="63">
        <f>VLOOKUP(C44,Active!C$21:E$967,3,FALSE)</f>
        <v>38547.082287413534</v>
      </c>
      <c r="F44" s="6" t="s">
        <v>73</v>
      </c>
      <c r="G44" s="26" t="str">
        <f t="shared" si="4"/>
        <v>54815.4800</v>
      </c>
      <c r="H44" s="20">
        <f t="shared" si="5"/>
        <v>38547</v>
      </c>
      <c r="I44" s="64" t="s">
        <v>201</v>
      </c>
      <c r="J44" s="65" t="s">
        <v>202</v>
      </c>
      <c r="K44" s="64" t="s">
        <v>203</v>
      </c>
      <c r="L44" s="64" t="s">
        <v>204</v>
      </c>
      <c r="M44" s="65" t="s">
        <v>180</v>
      </c>
      <c r="N44" s="65" t="s">
        <v>124</v>
      </c>
      <c r="O44" s="66" t="s">
        <v>187</v>
      </c>
      <c r="P44" s="67" t="s">
        <v>194</v>
      </c>
    </row>
    <row r="45" spans="1:16" ht="12.75" customHeight="1" thickBot="1" x14ac:dyDescent="0.25">
      <c r="A45" s="20" t="str">
        <f t="shared" si="0"/>
        <v>VSB 48 </v>
      </c>
      <c r="B45" s="6" t="str">
        <f t="shared" si="1"/>
        <v>II</v>
      </c>
      <c r="C45" s="20">
        <f t="shared" si="2"/>
        <v>54819.103499999997</v>
      </c>
      <c r="D45" s="26" t="str">
        <f t="shared" si="3"/>
        <v>vis</v>
      </c>
      <c r="E45" s="63">
        <f>VLOOKUP(C45,Active!C$21:E$967,3,FALSE)</f>
        <v>38553.583328800152</v>
      </c>
      <c r="F45" s="6" t="s">
        <v>73</v>
      </c>
      <c r="G45" s="26" t="str">
        <f t="shared" si="4"/>
        <v>54819.1035</v>
      </c>
      <c r="H45" s="20">
        <f t="shared" si="5"/>
        <v>38553.5</v>
      </c>
      <c r="I45" s="64" t="s">
        <v>205</v>
      </c>
      <c r="J45" s="65" t="s">
        <v>206</v>
      </c>
      <c r="K45" s="64" t="s">
        <v>207</v>
      </c>
      <c r="L45" s="64" t="s">
        <v>208</v>
      </c>
      <c r="M45" s="65" t="s">
        <v>180</v>
      </c>
      <c r="N45" s="65" t="s">
        <v>209</v>
      </c>
      <c r="O45" s="66" t="s">
        <v>210</v>
      </c>
      <c r="P45" s="67" t="s">
        <v>211</v>
      </c>
    </row>
    <row r="46" spans="1:16" x14ac:dyDescent="0.2">
      <c r="B46" s="6"/>
      <c r="F46" s="6"/>
    </row>
    <row r="47" spans="1:16" x14ac:dyDescent="0.2">
      <c r="B47" s="6"/>
      <c r="F47" s="6"/>
    </row>
    <row r="48" spans="1:1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</sheetData>
  <phoneticPr fontId="7" type="noConversion"/>
  <hyperlinks>
    <hyperlink ref="P11" r:id="rId1" display="http://www.bav-astro.de/sfs/BAVM_link.php?BAVMnr=117"/>
    <hyperlink ref="P37" r:id="rId2" display="http://www.konkoly.hu/cgi-bin/IBVS?5507"/>
    <hyperlink ref="P38" r:id="rId3" display="http://www.konkoly.hu/cgi-bin/IBVS?5507"/>
    <hyperlink ref="P12" r:id="rId4" display="http://www.bav-astro.de/sfs/BAVM_link.php?BAVMnr=117"/>
    <hyperlink ref="P13" r:id="rId5" display="http://www.bav-astro.de/sfs/BAVM_link.php?BAVMnr=117"/>
    <hyperlink ref="P14" r:id="rId6" display="http://www.bav-astro.de/sfs/BAVM_link.php?BAVMnr=117"/>
    <hyperlink ref="P39" r:id="rId7" display="http://www.konkoly.hu/cgi-bin/IBVS?5507"/>
    <hyperlink ref="P40" r:id="rId8" display="http://www.konkoly.hu/cgi-bin/IBVS?5507"/>
    <hyperlink ref="P41" r:id="rId9" display="http://www.konkoly.hu/cgi-bin/IBVS?5507"/>
    <hyperlink ref="P42" r:id="rId10" display="http://www.konkoly.hu/cgi-bin/IBVS?5507"/>
    <hyperlink ref="P15" r:id="rId11" display="http://www.bav-astro.de/sfs/BAVM_link.php?BAVMnr=152"/>
    <hyperlink ref="P16" r:id="rId12" display="http://www.konkoly.hu/cgi-bin/IBVS?5378"/>
    <hyperlink ref="P17" r:id="rId13" display="http://www.bav-astro.de/sfs/BAVM_link.php?BAVMnr=172"/>
    <hyperlink ref="P18" r:id="rId14" display="http://www.konkoly.hu/cgi-bin/IBVS?5603"/>
    <hyperlink ref="P19" r:id="rId15" display="http://www.konkoly.hu/cgi-bin/IBVS?5672"/>
    <hyperlink ref="P20" r:id="rId16" display="http://www.konkoly.hu/cgi-bin/IBVS?5677"/>
    <hyperlink ref="P21" r:id="rId17" display="http://www.bav-astro.de/sfs/BAVM_link.php?BAVMnr=178"/>
    <hyperlink ref="P22" r:id="rId18" display="http://www.bav-astro.de/sfs/BAVM_link.php?BAVMnr=186"/>
    <hyperlink ref="P43" r:id="rId19" display="http://www.bav-astro.de/sfs/BAVM_link.php?BAVMnr=203"/>
    <hyperlink ref="P23" r:id="rId20" display="http://www.konkoly.hu/cgi-bin/IBVS?5871"/>
    <hyperlink ref="P44" r:id="rId21" display="http://www.bav-astro.de/sfs/BAVM_link.php?BAVMnr=203"/>
    <hyperlink ref="P45" r:id="rId22" display="http://vsolj.cetus-net.org/no48.pdf"/>
    <hyperlink ref="P24" r:id="rId23" display="http://www.bav-astro.de/sfs/BAVM_link.php?BAVMnr=209"/>
    <hyperlink ref="P25" r:id="rId24" display="http://www.bav-astro.de/sfs/BAVM_link.php?BAVMnr=209"/>
    <hyperlink ref="P26" r:id="rId25" display="http://www.konkoly.hu/cgi-bin/IBVS?5894"/>
    <hyperlink ref="P27" r:id="rId26" display="http://www.konkoly.hu/cgi-bin/IBVS?5945"/>
    <hyperlink ref="P28" r:id="rId27" display="http://www.bav-astro.de/sfs/BAVM_link.php?BAVMnr=228"/>
    <hyperlink ref="P29" r:id="rId28" display="http://www.bav-astro.de/sfs/BAVM_link.php?BAVMnr=241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C15" sqref="C1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30</v>
      </c>
    </row>
    <row r="2" spans="1:4" x14ac:dyDescent="0.2">
      <c r="A2" t="s">
        <v>25</v>
      </c>
      <c r="B2" t="s">
        <v>31</v>
      </c>
    </row>
    <row r="4" spans="1:4" x14ac:dyDescent="0.2">
      <c r="A4" s="8" t="s">
        <v>0</v>
      </c>
      <c r="C4" s="3">
        <v>33330.4064</v>
      </c>
      <c r="D4" s="4">
        <v>0.55737223999999996</v>
      </c>
    </row>
    <row r="6" spans="1:4" x14ac:dyDescent="0.2">
      <c r="A6" s="8" t="s">
        <v>1</v>
      </c>
    </row>
    <row r="7" spans="1:4" x14ac:dyDescent="0.2">
      <c r="A7" t="s">
        <v>2</v>
      </c>
      <c r="C7">
        <f>+C4</f>
        <v>33330.4064</v>
      </c>
    </row>
    <row r="8" spans="1:4" x14ac:dyDescent="0.2">
      <c r="A8" t="s">
        <v>3</v>
      </c>
      <c r="C8">
        <v>0.5573863650952412</v>
      </c>
    </row>
    <row r="10" spans="1:4" ht="13.5" thickBot="1" x14ac:dyDescent="0.25">
      <c r="C10" s="7" t="s">
        <v>20</v>
      </c>
      <c r="D10" s="7" t="s">
        <v>21</v>
      </c>
    </row>
    <row r="11" spans="1:4" x14ac:dyDescent="0.2">
      <c r="A11" t="s">
        <v>16</v>
      </c>
      <c r="C11">
        <f>INTERCEPT(G21:G992,$F21:$F992)</f>
        <v>0.61057804572976926</v>
      </c>
      <c r="D11" s="6"/>
    </row>
    <row r="12" spans="1:4" x14ac:dyDescent="0.2">
      <c r="A12" t="s">
        <v>17</v>
      </c>
      <c r="C12">
        <f>SLOPE(G21:G992,$F21:$F992)</f>
        <v>-1.2807785863646254E-15</v>
      </c>
      <c r="D12" s="6"/>
    </row>
    <row r="13" spans="1:4" x14ac:dyDescent="0.2">
      <c r="A13" t="s">
        <v>19</v>
      </c>
      <c r="C13" s="6" t="s">
        <v>14</v>
      </c>
      <c r="D13" s="6"/>
    </row>
    <row r="14" spans="1:4" x14ac:dyDescent="0.2">
      <c r="A14" t="s">
        <v>24</v>
      </c>
    </row>
    <row r="15" spans="1:4" x14ac:dyDescent="0.2">
      <c r="A15" s="5" t="s">
        <v>18</v>
      </c>
      <c r="C15" s="20">
        <v>53697.915800000002</v>
      </c>
    </row>
    <row r="16" spans="1:4" x14ac:dyDescent="0.2">
      <c r="A16" s="8" t="s">
        <v>4</v>
      </c>
      <c r="C16">
        <f>+C8+C12</f>
        <v>0.55738636509523987</v>
      </c>
    </row>
    <row r="17" spans="1:17" ht="13.5" thickBot="1" x14ac:dyDescent="0.25"/>
    <row r="18" spans="1:17" x14ac:dyDescent="0.2">
      <c r="A18" s="8" t="s">
        <v>5</v>
      </c>
      <c r="C18" s="3">
        <f>+C15</f>
        <v>53697.915800000002</v>
      </c>
      <c r="D18" s="4">
        <f>+C16</f>
        <v>0.55738636509523987</v>
      </c>
    </row>
    <row r="19" spans="1:17" ht="13.5" thickTop="1" x14ac:dyDescent="0.2">
      <c r="C19">
        <f>COUNT(C21:C2184)</f>
        <v>16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40</v>
      </c>
      <c r="J20" s="10" t="s">
        <v>42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15</v>
      </c>
    </row>
    <row r="21" spans="1:17" x14ac:dyDescent="0.2">
      <c r="A21" t="s">
        <v>12</v>
      </c>
      <c r="C21" s="20">
        <f>+C4</f>
        <v>33330.4064</v>
      </c>
      <c r="D21" s="6" t="s">
        <v>14</v>
      </c>
      <c r="E21">
        <f t="shared" ref="E21:E36" si="0">+(C21-C$7)/C$8</f>
        <v>0</v>
      </c>
      <c r="F21">
        <f>ROUND(2*E21,0)/2</f>
        <v>0</v>
      </c>
      <c r="H21" s="19">
        <v>0</v>
      </c>
      <c r="O21">
        <f t="shared" ref="O21:O36" si="1">+C$11+C$12*$F21</f>
        <v>0.61057804572976926</v>
      </c>
      <c r="Q21" s="2">
        <f t="shared" ref="Q21:Q36" si="2">+C21-15018.5</f>
        <v>18311.9064</v>
      </c>
    </row>
    <row r="22" spans="1:17" x14ac:dyDescent="0.2">
      <c r="A22" s="11" t="s">
        <v>35</v>
      </c>
      <c r="B22" s="12" t="s">
        <v>33</v>
      </c>
      <c r="C22" s="11">
        <v>50863.328000000001</v>
      </c>
      <c r="D22" s="12">
        <v>2E-3</v>
      </c>
      <c r="E22">
        <f t="shared" si="0"/>
        <v>31455.59830299066</v>
      </c>
      <c r="F22" s="19">
        <f t="shared" ref="F22:F36" si="3">ROUND(2*E22,0)/2-1</f>
        <v>31454.5</v>
      </c>
      <c r="G22">
        <f t="shared" ref="G22:G36" si="4">+C22-(C$7+F22*C$8)</f>
        <v>0.61217911174026085</v>
      </c>
      <c r="I22">
        <f t="shared" ref="I22:I35" si="5">+G22</f>
        <v>0.61217911174026085</v>
      </c>
      <c r="O22">
        <f t="shared" si="1"/>
        <v>0.61057804568948304</v>
      </c>
      <c r="Q22" s="2">
        <f t="shared" si="2"/>
        <v>35844.828000000001</v>
      </c>
    </row>
    <row r="23" spans="1:17" x14ac:dyDescent="0.2">
      <c r="A23" s="11" t="s">
        <v>32</v>
      </c>
      <c r="B23" s="12" t="s">
        <v>33</v>
      </c>
      <c r="C23" s="11">
        <v>51128.642500000075</v>
      </c>
      <c r="D23" s="13">
        <v>8.0000000000000004E-4</v>
      </c>
      <c r="E23">
        <f t="shared" si="0"/>
        <v>31931.595773712317</v>
      </c>
      <c r="F23" s="19">
        <f t="shared" si="3"/>
        <v>31930.5</v>
      </c>
      <c r="G23">
        <f t="shared" si="4"/>
        <v>0.6107693264784757</v>
      </c>
      <c r="I23">
        <f t="shared" si="5"/>
        <v>0.6107693264784757</v>
      </c>
      <c r="O23">
        <f t="shared" si="1"/>
        <v>0.61057804568887331</v>
      </c>
      <c r="Q23" s="2">
        <f t="shared" si="2"/>
        <v>36110.142500000075</v>
      </c>
    </row>
    <row r="24" spans="1:17" x14ac:dyDescent="0.2">
      <c r="A24" s="11" t="s">
        <v>32</v>
      </c>
      <c r="B24" s="12" t="s">
        <v>34</v>
      </c>
      <c r="C24" s="11">
        <v>51128.923200000077</v>
      </c>
      <c r="D24" s="13">
        <v>2.0000000000000001E-4</v>
      </c>
      <c r="E24">
        <f t="shared" si="0"/>
        <v>31932.099374118752</v>
      </c>
      <c r="F24" s="19">
        <f t="shared" si="3"/>
        <v>31931</v>
      </c>
      <c r="G24">
        <f t="shared" si="4"/>
        <v>0.61277614392747637</v>
      </c>
      <c r="I24">
        <f t="shared" si="5"/>
        <v>0.61277614392747637</v>
      </c>
      <c r="O24">
        <f t="shared" si="1"/>
        <v>0.61057804568887275</v>
      </c>
      <c r="Q24" s="2">
        <f t="shared" si="2"/>
        <v>36110.423200000077</v>
      </c>
    </row>
    <row r="25" spans="1:17" x14ac:dyDescent="0.2">
      <c r="A25" s="11" t="s">
        <v>35</v>
      </c>
      <c r="B25" s="12" t="s">
        <v>33</v>
      </c>
      <c r="C25" s="11">
        <v>51138.678</v>
      </c>
      <c r="D25" s="12">
        <v>8.9999999999999998E-4</v>
      </c>
      <c r="E25">
        <f t="shared" si="0"/>
        <v>31949.600340433662</v>
      </c>
      <c r="F25" s="19">
        <f t="shared" si="3"/>
        <v>31948.5</v>
      </c>
      <c r="G25">
        <f t="shared" si="4"/>
        <v>0.61331475468614371</v>
      </c>
      <c r="I25">
        <f t="shared" si="5"/>
        <v>0.61331475468614371</v>
      </c>
      <c r="O25">
        <f t="shared" si="1"/>
        <v>0.61057804568885032</v>
      </c>
      <c r="Q25" s="2">
        <f t="shared" si="2"/>
        <v>36120.178</v>
      </c>
    </row>
    <row r="26" spans="1:17" x14ac:dyDescent="0.2">
      <c r="A26" s="11" t="s">
        <v>35</v>
      </c>
      <c r="B26" s="14"/>
      <c r="C26" s="11">
        <v>51139.511500000001</v>
      </c>
      <c r="D26" s="12">
        <v>5.0000000000000001E-4</v>
      </c>
      <c r="E26">
        <f t="shared" si="0"/>
        <v>31951.095712499067</v>
      </c>
      <c r="F26" s="19">
        <f t="shared" si="3"/>
        <v>31950</v>
      </c>
      <c r="G26">
        <f t="shared" si="4"/>
        <v>0.61073520704667317</v>
      </c>
      <c r="I26">
        <f t="shared" si="5"/>
        <v>0.61073520704667317</v>
      </c>
      <c r="O26">
        <f t="shared" si="1"/>
        <v>0.61057804568884844</v>
      </c>
      <c r="Q26" s="2">
        <f t="shared" si="2"/>
        <v>36121.011500000001</v>
      </c>
    </row>
    <row r="27" spans="1:17" x14ac:dyDescent="0.2">
      <c r="A27" s="11" t="s">
        <v>35</v>
      </c>
      <c r="B27" s="14"/>
      <c r="C27" s="11">
        <v>51178.526700000002</v>
      </c>
      <c r="D27" s="12">
        <v>8.0000000000000004E-4</v>
      </c>
      <c r="E27">
        <f t="shared" si="0"/>
        <v>32021.092401408627</v>
      </c>
      <c r="F27" s="19">
        <f t="shared" si="3"/>
        <v>32020</v>
      </c>
      <c r="G27">
        <f t="shared" si="4"/>
        <v>0.60888965037884191</v>
      </c>
      <c r="I27">
        <f t="shared" si="5"/>
        <v>0.60888965037884191</v>
      </c>
      <c r="O27">
        <f t="shared" si="1"/>
        <v>0.61057804568875873</v>
      </c>
      <c r="Q27" s="2">
        <f t="shared" si="2"/>
        <v>36160.026700000002</v>
      </c>
    </row>
    <row r="28" spans="1:17" x14ac:dyDescent="0.2">
      <c r="A28" s="11" t="s">
        <v>32</v>
      </c>
      <c r="B28" s="12" t="s">
        <v>33</v>
      </c>
      <c r="C28" s="11">
        <v>51213.92659999989</v>
      </c>
      <c r="D28" s="13">
        <v>4.0000000000000002E-4</v>
      </c>
      <c r="E28">
        <f t="shared" si="0"/>
        <v>32084.602925197341</v>
      </c>
      <c r="F28" s="19">
        <f t="shared" si="3"/>
        <v>32083.5</v>
      </c>
      <c r="G28">
        <f t="shared" si="4"/>
        <v>0.61475546671863412</v>
      </c>
      <c r="I28">
        <f t="shared" si="5"/>
        <v>0.61475546671863412</v>
      </c>
      <c r="O28">
        <f t="shared" si="1"/>
        <v>0.61057804568867735</v>
      </c>
      <c r="Q28" s="2">
        <f t="shared" si="2"/>
        <v>36195.42659999989</v>
      </c>
    </row>
    <row r="29" spans="1:17" x14ac:dyDescent="0.2">
      <c r="A29" s="11" t="s">
        <v>32</v>
      </c>
      <c r="B29" s="12" t="s">
        <v>34</v>
      </c>
      <c r="C29" s="11">
        <v>51214.19970000023</v>
      </c>
      <c r="D29" s="13">
        <v>2.0000000000000001E-4</v>
      </c>
      <c r="E29">
        <f t="shared" si="0"/>
        <v>32085.092890538159</v>
      </c>
      <c r="F29" s="19">
        <f t="shared" si="3"/>
        <v>32084</v>
      </c>
      <c r="G29">
        <f t="shared" si="4"/>
        <v>0.60916228451242205</v>
      </c>
      <c r="I29">
        <f t="shared" si="5"/>
        <v>0.60916228451242205</v>
      </c>
      <c r="O29">
        <f t="shared" si="1"/>
        <v>0.6105780456886768</v>
      </c>
      <c r="Q29" s="2">
        <f t="shared" si="2"/>
        <v>36195.69970000023</v>
      </c>
    </row>
    <row r="30" spans="1:17" x14ac:dyDescent="0.2">
      <c r="A30" s="11" t="s">
        <v>32</v>
      </c>
      <c r="B30" s="12" t="s">
        <v>33</v>
      </c>
      <c r="C30" s="11">
        <v>51501.530499999877</v>
      </c>
      <c r="D30" s="13">
        <v>4.0000000000000002E-4</v>
      </c>
      <c r="E30">
        <f t="shared" si="0"/>
        <v>32600.589533428858</v>
      </c>
      <c r="F30" s="19">
        <f t="shared" si="3"/>
        <v>32599.5</v>
      </c>
      <c r="G30">
        <f t="shared" si="4"/>
        <v>0.60729107756196754</v>
      </c>
      <c r="I30">
        <f t="shared" si="5"/>
        <v>0.60729107756196754</v>
      </c>
      <c r="O30">
        <f t="shared" si="1"/>
        <v>0.61057804568801655</v>
      </c>
      <c r="Q30" s="2">
        <f t="shared" si="2"/>
        <v>36483.030499999877</v>
      </c>
    </row>
    <row r="31" spans="1:17" x14ac:dyDescent="0.2">
      <c r="A31" s="11" t="s">
        <v>32</v>
      </c>
      <c r="B31" s="12" t="s">
        <v>34</v>
      </c>
      <c r="C31" s="11">
        <v>51501.81110000005</v>
      </c>
      <c r="D31" s="13">
        <v>4.0000000000000002E-4</v>
      </c>
      <c r="E31">
        <f t="shared" si="0"/>
        <v>32601.092954426833</v>
      </c>
      <c r="F31" s="19">
        <f t="shared" si="3"/>
        <v>32600</v>
      </c>
      <c r="G31">
        <f t="shared" si="4"/>
        <v>0.6091978951881174</v>
      </c>
      <c r="I31">
        <f t="shared" si="5"/>
        <v>0.6091978951881174</v>
      </c>
      <c r="O31">
        <f t="shared" si="1"/>
        <v>0.61057804568801588</v>
      </c>
      <c r="Q31" s="2">
        <f t="shared" si="2"/>
        <v>36483.31110000005</v>
      </c>
    </row>
    <row r="32" spans="1:17" x14ac:dyDescent="0.2">
      <c r="A32" s="15" t="s">
        <v>36</v>
      </c>
      <c r="B32" s="12" t="s">
        <v>33</v>
      </c>
      <c r="C32" s="21">
        <v>51899.500200000002</v>
      </c>
      <c r="D32" s="13">
        <v>1.2999999999999999E-3</v>
      </c>
      <c r="E32">
        <f t="shared" si="0"/>
        <v>33314.582061631671</v>
      </c>
      <c r="F32" s="19">
        <f t="shared" si="3"/>
        <v>33313.5</v>
      </c>
      <c r="G32">
        <f t="shared" si="4"/>
        <v>0.60312639968469739</v>
      </c>
      <c r="I32">
        <f t="shared" si="5"/>
        <v>0.60312639968469739</v>
      </c>
      <c r="O32">
        <f t="shared" si="1"/>
        <v>0.61057804568710206</v>
      </c>
      <c r="Q32" s="2">
        <f t="shared" si="2"/>
        <v>36881.000200000002</v>
      </c>
    </row>
    <row r="33" spans="1:17" x14ac:dyDescent="0.2">
      <c r="A33" s="15" t="s">
        <v>37</v>
      </c>
      <c r="B33" s="14" t="s">
        <v>34</v>
      </c>
      <c r="C33" s="22">
        <v>52627.733699999997</v>
      </c>
      <c r="D33" s="16">
        <v>5.0000000000000001E-4</v>
      </c>
      <c r="E33">
        <f t="shared" si="0"/>
        <v>34621.096798273211</v>
      </c>
      <c r="F33" s="19">
        <f t="shared" si="3"/>
        <v>34620</v>
      </c>
      <c r="G33">
        <f t="shared" si="4"/>
        <v>0.61134040274191648</v>
      </c>
      <c r="I33">
        <f t="shared" si="5"/>
        <v>0.61134040274191648</v>
      </c>
      <c r="O33">
        <f t="shared" si="1"/>
        <v>0.61057804568542873</v>
      </c>
      <c r="Q33" s="2">
        <f t="shared" si="2"/>
        <v>37609.233699999997</v>
      </c>
    </row>
    <row r="34" spans="1:17" x14ac:dyDescent="0.2">
      <c r="A34" s="17" t="s">
        <v>39</v>
      </c>
      <c r="B34" s="6" t="s">
        <v>33</v>
      </c>
      <c r="C34" s="23">
        <v>52689.325900000003</v>
      </c>
      <c r="D34" s="18">
        <v>2.0000000000000001E-4</v>
      </c>
      <c r="E34">
        <f t="shared" si="0"/>
        <v>34731.598604304083</v>
      </c>
      <c r="F34" s="19">
        <f t="shared" si="3"/>
        <v>34730.5</v>
      </c>
      <c r="G34">
        <f t="shared" si="4"/>
        <v>0.61234705973038217</v>
      </c>
      <c r="I34">
        <f t="shared" si="5"/>
        <v>0.61234705973038217</v>
      </c>
      <c r="O34">
        <f t="shared" si="1"/>
        <v>0.61057804568528717</v>
      </c>
      <c r="Q34" s="2">
        <f t="shared" si="2"/>
        <v>37670.825900000003</v>
      </c>
    </row>
    <row r="35" spans="1:17" x14ac:dyDescent="0.2">
      <c r="A35" s="11" t="s">
        <v>38</v>
      </c>
      <c r="B35" s="14" t="s">
        <v>34</v>
      </c>
      <c r="C35" s="22">
        <v>53082.560799999999</v>
      </c>
      <c r="D35" s="12">
        <v>8.0000000000000004E-4</v>
      </c>
      <c r="E35">
        <f t="shared" si="0"/>
        <v>35437.096486249582</v>
      </c>
      <c r="F35" s="19">
        <f t="shared" si="3"/>
        <v>35436</v>
      </c>
      <c r="G35">
        <f t="shared" si="4"/>
        <v>0.61116648503229953</v>
      </c>
      <c r="I35">
        <f t="shared" si="5"/>
        <v>0.61116648503229953</v>
      </c>
      <c r="O35">
        <f t="shared" si="1"/>
        <v>0.61057804568438356</v>
      </c>
      <c r="Q35" s="2">
        <f t="shared" si="2"/>
        <v>38064.060799999999</v>
      </c>
    </row>
    <row r="36" spans="1:17" x14ac:dyDescent="0.2">
      <c r="A36" s="8" t="s">
        <v>41</v>
      </c>
      <c r="C36" s="20">
        <v>53697.915800000002</v>
      </c>
      <c r="D36" s="6">
        <v>2.9999999999999997E-4</v>
      </c>
      <c r="E36">
        <f t="shared" si="0"/>
        <v>36541.097298854424</v>
      </c>
      <c r="F36" s="19">
        <f t="shared" si="3"/>
        <v>36540</v>
      </c>
      <c r="G36">
        <f t="shared" si="4"/>
        <v>0.61161941988393664</v>
      </c>
      <c r="J36">
        <f>+G36</f>
        <v>0.61161941988393664</v>
      </c>
      <c r="O36">
        <f t="shared" si="1"/>
        <v>0.61057804568296958</v>
      </c>
      <c r="Q36" s="2">
        <f t="shared" si="2"/>
        <v>38679.415800000002</v>
      </c>
    </row>
    <row r="37" spans="1:17" x14ac:dyDescent="0.2">
      <c r="C37" s="20"/>
      <c r="D37" s="6"/>
    </row>
    <row r="38" spans="1:17" x14ac:dyDescent="0.2">
      <c r="D38" s="6"/>
    </row>
    <row r="39" spans="1:17" x14ac:dyDescent="0.2">
      <c r="D39" s="6"/>
    </row>
    <row r="40" spans="1:17" x14ac:dyDescent="0.2">
      <c r="D40" s="6"/>
    </row>
    <row r="41" spans="1:17" x14ac:dyDescent="0.2">
      <c r="D41" s="6"/>
    </row>
    <row r="42" spans="1:17" x14ac:dyDescent="0.2">
      <c r="D42" s="6"/>
    </row>
    <row r="43" spans="1:17" x14ac:dyDescent="0.2">
      <c r="D43" s="6"/>
    </row>
    <row r="44" spans="1:17" x14ac:dyDescent="0.2">
      <c r="D44" s="6"/>
    </row>
    <row r="45" spans="1:17" x14ac:dyDescent="0.2">
      <c r="D45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2024-02-25T03:36:33Z</dcterms:modified>
</cp:coreProperties>
</file>