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4CBAAE3-7F84-4F15-8D84-B4BC962EFA6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2" i="1" l="1"/>
  <c r="F13" i="1" s="1"/>
  <c r="C13" i="1"/>
  <c r="D13" i="1"/>
  <c r="C14" i="1"/>
  <c r="D14" i="1"/>
  <c r="C17" i="1"/>
  <c r="E27" i="1"/>
  <c r="F27" i="1"/>
  <c r="G27" i="1" s="1"/>
  <c r="Q27" i="1"/>
  <c r="E36" i="1"/>
  <c r="F36" i="1"/>
  <c r="G36" i="1"/>
  <c r="Q36" i="1"/>
  <c r="E37" i="1"/>
  <c r="F37" i="1"/>
  <c r="G37" i="1" s="1"/>
  <c r="Q37" i="1"/>
  <c r="E38" i="1"/>
  <c r="F38" i="1"/>
  <c r="G38" i="1"/>
  <c r="Q38" i="1"/>
  <c r="E39" i="1"/>
  <c r="F39" i="1"/>
  <c r="G39" i="1" s="1"/>
  <c r="Q39" i="1"/>
  <c r="E40" i="1"/>
  <c r="F40" i="1"/>
  <c r="G40" i="1"/>
  <c r="Q40" i="1"/>
  <c r="E41" i="1"/>
  <c r="F41" i="1"/>
  <c r="G41" i="1" s="1"/>
  <c r="Q41" i="1"/>
  <c r="E42" i="1"/>
  <c r="F42" i="1"/>
  <c r="G42" i="1"/>
  <c r="Q42" i="1"/>
  <c r="E21" i="1"/>
  <c r="F21" i="1"/>
  <c r="G21" i="1" s="1"/>
  <c r="Q21" i="1"/>
  <c r="E22" i="1"/>
  <c r="F22" i="1"/>
  <c r="G22" i="1"/>
  <c r="Q22" i="1"/>
  <c r="E23" i="1"/>
  <c r="E16" i="2" s="1"/>
  <c r="F23" i="1"/>
  <c r="G23" i="1" s="1"/>
  <c r="Q23" i="1"/>
  <c r="E24" i="1"/>
  <c r="F24" i="1"/>
  <c r="G24" i="1"/>
  <c r="Q24" i="1"/>
  <c r="E25" i="1"/>
  <c r="E18" i="2" s="1"/>
  <c r="F25" i="1"/>
  <c r="G25" i="1" s="1"/>
  <c r="Q25" i="1"/>
  <c r="E26" i="1"/>
  <c r="F26" i="1"/>
  <c r="G26" i="1"/>
  <c r="Q26" i="1"/>
  <c r="E28" i="1"/>
  <c r="E20" i="2" s="1"/>
  <c r="F28" i="1"/>
  <c r="G28" i="1" s="1"/>
  <c r="Q28" i="1"/>
  <c r="E29" i="1"/>
  <c r="F29" i="1"/>
  <c r="G29" i="1"/>
  <c r="Q29" i="1"/>
  <c r="E30" i="1"/>
  <c r="E22" i="2" s="1"/>
  <c r="F30" i="1"/>
  <c r="G30" i="1" s="1"/>
  <c r="Q30" i="1"/>
  <c r="E31" i="1"/>
  <c r="F31" i="1"/>
  <c r="G31" i="1"/>
  <c r="Q31" i="1"/>
  <c r="E32" i="1"/>
  <c r="E24" i="2" s="1"/>
  <c r="F32" i="1"/>
  <c r="G32" i="1" s="1"/>
  <c r="Q32" i="1"/>
  <c r="E33" i="1"/>
  <c r="F33" i="1"/>
  <c r="G33" i="1"/>
  <c r="K33" i="1" s="1"/>
  <c r="Q33" i="1"/>
  <c r="E34" i="1"/>
  <c r="E26" i="2" s="1"/>
  <c r="F34" i="1"/>
  <c r="G34" i="1" s="1"/>
  <c r="Q34" i="1"/>
  <c r="E35" i="1"/>
  <c r="F35" i="1"/>
  <c r="G35" i="1"/>
  <c r="K35" i="1" s="1"/>
  <c r="Q35" i="1"/>
  <c r="E44" i="1"/>
  <c r="F44" i="1"/>
  <c r="G44" i="1" s="1"/>
  <c r="Q44" i="1"/>
  <c r="E45" i="1"/>
  <c r="F45" i="1"/>
  <c r="G45" i="1"/>
  <c r="Q45" i="1"/>
  <c r="E43" i="1"/>
  <c r="F43" i="1"/>
  <c r="G43" i="1" s="1"/>
  <c r="Q43" i="1"/>
  <c r="A11" i="2"/>
  <c r="B11" i="2"/>
  <c r="D11" i="2"/>
  <c r="G11" i="2"/>
  <c r="C11" i="2"/>
  <c r="E11" i="2"/>
  <c r="H11" i="2"/>
  <c r="A12" i="2"/>
  <c r="C12" i="2"/>
  <c r="E12" i="2"/>
  <c r="D12" i="2"/>
  <c r="G12" i="2"/>
  <c r="H12" i="2"/>
  <c r="B12" i="2"/>
  <c r="A13" i="2"/>
  <c r="C13" i="2"/>
  <c r="E13" i="2"/>
  <c r="D13" i="2"/>
  <c r="G13" i="2"/>
  <c r="H13" i="2"/>
  <c r="B13" i="2"/>
  <c r="A14" i="2"/>
  <c r="B14" i="2"/>
  <c r="D14" i="2"/>
  <c r="G14" i="2"/>
  <c r="C14" i="2"/>
  <c r="E14" i="2"/>
  <c r="H14" i="2"/>
  <c r="A15" i="2"/>
  <c r="D15" i="2"/>
  <c r="G15" i="2"/>
  <c r="C15" i="2"/>
  <c r="E15" i="2"/>
  <c r="H15" i="2"/>
  <c r="B15" i="2"/>
  <c r="A16" i="2"/>
  <c r="D16" i="2"/>
  <c r="G16" i="2"/>
  <c r="C16" i="2"/>
  <c r="H16" i="2"/>
  <c r="B16" i="2"/>
  <c r="A17" i="2"/>
  <c r="D17" i="2"/>
  <c r="G17" i="2"/>
  <c r="C17" i="2"/>
  <c r="E17" i="2"/>
  <c r="H17" i="2"/>
  <c r="B17" i="2"/>
  <c r="A18" i="2"/>
  <c r="B18" i="2"/>
  <c r="D18" i="2"/>
  <c r="G18" i="2"/>
  <c r="C18" i="2"/>
  <c r="H18" i="2"/>
  <c r="A19" i="2"/>
  <c r="B19" i="2"/>
  <c r="C19" i="2"/>
  <c r="E19" i="2"/>
  <c r="D19" i="2"/>
  <c r="G19" i="2"/>
  <c r="H19" i="2"/>
  <c r="A20" i="2"/>
  <c r="C20" i="2"/>
  <c r="D20" i="2"/>
  <c r="G20" i="2"/>
  <c r="H20" i="2"/>
  <c r="B20" i="2"/>
  <c r="A21" i="2"/>
  <c r="C21" i="2"/>
  <c r="D21" i="2"/>
  <c r="E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E23" i="2"/>
  <c r="H23" i="2"/>
  <c r="B23" i="2"/>
  <c r="A24" i="2"/>
  <c r="D24" i="2"/>
  <c r="G24" i="2"/>
  <c r="C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H26" i="2"/>
  <c r="A27" i="2"/>
  <c r="B27" i="2"/>
  <c r="C27" i="2"/>
  <c r="E27" i="2"/>
  <c r="D27" i="2"/>
  <c r="G27" i="2"/>
  <c r="H27" i="2"/>
  <c r="A28" i="2"/>
  <c r="C28" i="2"/>
  <c r="E28" i="2"/>
  <c r="D28" i="2"/>
  <c r="G28" i="2"/>
  <c r="H28" i="2"/>
  <c r="B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J38" i="1"/>
  <c r="R38" i="1"/>
  <c r="K24" i="1"/>
  <c r="R24" i="1"/>
  <c r="K26" i="1"/>
  <c r="R26" i="1"/>
  <c r="K40" i="1"/>
  <c r="S40" i="1"/>
  <c r="K45" i="1"/>
  <c r="R45" i="1"/>
  <c r="K29" i="1"/>
  <c r="R29" i="1"/>
  <c r="K42" i="1"/>
  <c r="S42" i="1"/>
  <c r="K31" i="1"/>
  <c r="S31" i="1"/>
  <c r="K22" i="1"/>
  <c r="R22" i="1"/>
  <c r="I36" i="1"/>
  <c r="R36" i="1"/>
  <c r="R27" i="1" l="1"/>
  <c r="H27" i="1"/>
  <c r="K39" i="1"/>
  <c r="S39" i="1"/>
  <c r="K32" i="1"/>
  <c r="S32" i="1"/>
  <c r="K41" i="1"/>
  <c r="S41" i="1"/>
  <c r="J37" i="1"/>
  <c r="R37" i="1"/>
  <c r="K34" i="1"/>
  <c r="R34" i="1"/>
  <c r="R44" i="1"/>
  <c r="K44" i="1"/>
  <c r="K43" i="1"/>
  <c r="S43" i="1"/>
  <c r="K21" i="1"/>
  <c r="R21" i="1"/>
  <c r="K23" i="1"/>
  <c r="R23" i="1"/>
  <c r="K25" i="1"/>
  <c r="S25" i="1"/>
  <c r="S30" i="1"/>
  <c r="K30" i="1"/>
  <c r="K28" i="1"/>
  <c r="R28" i="1"/>
  <c r="R35" i="1"/>
  <c r="S33" i="1"/>
  <c r="C12" i="1"/>
  <c r="D12" i="1"/>
  <c r="D11" i="1"/>
  <c r="C11" i="1"/>
  <c r="P28" i="1" l="1"/>
  <c r="P21" i="1"/>
  <c r="P31" i="1"/>
  <c r="P41" i="1"/>
  <c r="P44" i="1"/>
  <c r="P30" i="1"/>
  <c r="P23" i="1"/>
  <c r="P25" i="1"/>
  <c r="P32" i="1"/>
  <c r="P29" i="1"/>
  <c r="P27" i="1"/>
  <c r="P38" i="1"/>
  <c r="P43" i="1"/>
  <c r="P39" i="1"/>
  <c r="D15" i="1"/>
  <c r="P42" i="1"/>
  <c r="P34" i="1"/>
  <c r="P22" i="1"/>
  <c r="P37" i="1"/>
  <c r="P36" i="1"/>
  <c r="P40" i="1"/>
  <c r="P33" i="1"/>
  <c r="P35" i="1"/>
  <c r="P24" i="1"/>
  <c r="P45" i="1"/>
  <c r="P26" i="1"/>
  <c r="D16" i="1"/>
  <c r="C16" i="1"/>
  <c r="D18" i="1" s="1"/>
  <c r="S19" i="1"/>
  <c r="E19" i="1" s="1"/>
  <c r="R19" i="1"/>
  <c r="E18" i="1" s="1"/>
  <c r="O38" i="1"/>
  <c r="O24" i="1"/>
  <c r="O33" i="1"/>
  <c r="O39" i="1"/>
  <c r="O25" i="1"/>
  <c r="O34" i="1"/>
  <c r="O30" i="1"/>
  <c r="O40" i="1"/>
  <c r="O26" i="1"/>
  <c r="O35" i="1"/>
  <c r="O42" i="1"/>
  <c r="O45" i="1"/>
  <c r="O41" i="1"/>
  <c r="O28" i="1"/>
  <c r="O44" i="1"/>
  <c r="O29" i="1"/>
  <c r="O21" i="1"/>
  <c r="C15" i="1"/>
  <c r="O27" i="1"/>
  <c r="O36" i="1"/>
  <c r="O22" i="1"/>
  <c r="O31" i="1"/>
  <c r="O37" i="1"/>
  <c r="O23" i="1"/>
  <c r="O32" i="1"/>
  <c r="O43" i="1"/>
  <c r="F14" i="1" l="1"/>
  <c r="F15" i="1" s="1"/>
  <c r="C18" i="1"/>
</calcChain>
</file>

<file path=xl/sharedStrings.xml><?xml version="1.0" encoding="utf-8"?>
<sst xmlns="http://schemas.openxmlformats.org/spreadsheetml/2006/main" count="258" uniqueCount="134">
  <si>
    <t>V0521 Mon / GSC 4801-2799</t>
  </si>
  <si>
    <t>System Type:</t>
  </si>
  <si>
    <t>EA/DM</t>
  </si>
  <si>
    <t>GCVS 4 Eph.</t>
  </si>
  <si>
    <t>--- Working ----</t>
  </si>
  <si>
    <t>Epoch =</t>
  </si>
  <si>
    <t>Period =</t>
  </si>
  <si>
    <t>Kreiner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</si>
  <si>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</si>
  <si>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</si>
  <si>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</si>
  <si>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</si>
  <si>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</si>
  <si>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</si>
  <si>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</si>
  <si>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Start cell (x)</t>
  </si>
  <si>
    <t>Old Cycle</t>
  </si>
  <si>
    <t>Start cell (y)</t>
  </si>
  <si>
    <t>New Cycle</t>
  </si>
  <si>
    <t>New epoch =</t>
  </si>
  <si>
    <t>Next ToM</t>
  </si>
  <si>
    <t>New Period =</t>
  </si>
  <si>
    <t>Local time</t>
  </si>
  <si>
    <t># of data points =</t>
  </si>
  <si>
    <t>Prim. Ephem. =</t>
  </si>
  <si>
    <t>Sec. Ephem. =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</si>
  <si>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</si>
  <si>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</si>
  <si>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</si>
  <si>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</si>
  <si>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</si>
  <si>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</si>
  <si>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</si>
  <si>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</si>
  <si>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</si>
  <si>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</si>
  <si>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</si>
  <si>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</si>
  <si>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</si>
  <si>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</si>
  <si>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Prim. Fit</t>
  </si>
  <si>
    <t>Sec. Fit</t>
  </si>
  <si>
    <t>Date</t>
  </si>
  <si>
    <t>GCVS 4</t>
  </si>
  <si>
    <t>na</t>
  </si>
  <si>
    <t>IBVS 5918</t>
  </si>
  <si>
    <t>I</t>
  </si>
  <si>
    <t>IBVS 6048</t>
  </si>
  <si>
    <t>IBVS 6063</t>
  </si>
  <si>
    <t>II</t>
  </si>
  <si>
    <t> AHSB 7.7.369 </t>
  </si>
  <si>
    <t>IBVS 6244</t>
  </si>
  <si>
    <t>OEJV 0205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</si>
  <si>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</si>
  <si>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</si>
  <si>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</si>
  <si>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</si>
  <si>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</si>
  <si>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</si>
  <si>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</si>
  <si>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</si>
  <si>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2454866.4432 </t>
  </si>
  <si>
    <t> 03.02.2009 22:38 </t>
  </si>
  <si>
    <t> -0.1084 </t>
  </si>
  <si>
    <t>C </t>
  </si>
  <si>
    <t>-I</t>
  </si>
  <si>
    <t> F.Agerer </t>
  </si>
  <si>
    <t>BAVM 209 </t>
  </si>
  <si>
    <t>2455980.4407 </t>
  </si>
  <si>
    <t> 22.02.2012 22:34 </t>
  </si>
  <si>
    <t>7733</t>
  </si>
  <si>
    <t> -0.1096 </t>
  </si>
  <si>
    <t>BAVM 228 </t>
  </si>
  <si>
    <t>2456341.7127 </t>
  </si>
  <si>
    <t> 18.02.2013 05:06 </t>
  </si>
  <si>
    <t>7854.5</t>
  </si>
  <si>
    <t> 0.2268 </t>
  </si>
  <si>
    <t>B</t>
  </si>
  <si>
    <t> R.Diethelm </t>
  </si>
  <si>
    <t>IBVS 6063 </t>
  </si>
  <si>
    <t>2429308.381 </t>
  </si>
  <si>
    <t> 13.02.1939 21:08 </t>
  </si>
  <si>
    <t> -0.069 </t>
  </si>
  <si>
    <t>P </t>
  </si>
  <si>
    <t> A.A.Wachmann </t>
  </si>
  <si>
    <t>2430076.376 </t>
  </si>
  <si>
    <t> 22.03.1941 21:01 </t>
  </si>
  <si>
    <t> 0.010 </t>
  </si>
  <si>
    <t>2430085.340 </t>
  </si>
  <si>
    <t> 31.03.1941 20:09 </t>
  </si>
  <si>
    <t> 0.062 </t>
  </si>
  <si>
    <t>2430382.421 </t>
  </si>
  <si>
    <t> 22.01.1942 22:06 </t>
  </si>
  <si>
    <t> 0.076 </t>
  </si>
  <si>
    <t>2430431.314 </t>
  </si>
  <si>
    <t> 12.03.1942 19:32 </t>
  </si>
  <si>
    <t> -0.047 </t>
  </si>
  <si>
    <t>2433008.325 </t>
  </si>
  <si>
    <t> 01.04.1949 19:48 </t>
  </si>
  <si>
    <t> -0.086 </t>
  </si>
  <si>
    <t>2433023.349 </t>
  </si>
  <si>
    <t> 16.04.1949 20:22 </t>
  </si>
  <si>
    <t> 0.085 </t>
  </si>
  <si>
    <t>2433709.386 </t>
  </si>
  <si>
    <t> 03.03.1951 21:15 </t>
  </si>
  <si>
    <t> -0.102 </t>
  </si>
  <si>
    <t>2434085.291 </t>
  </si>
  <si>
    <t> 13.03.1952 18:59 </t>
  </si>
  <si>
    <t> 0.015 </t>
  </si>
  <si>
    <t>2434664.573 </t>
  </si>
  <si>
    <t> 14.10.1953 01:45 </t>
  </si>
  <si>
    <t> 0.017 </t>
  </si>
  <si>
    <t>2434780.472 </t>
  </si>
  <si>
    <t> 06.02.1954 23:19 </t>
  </si>
  <si>
    <t> 0.060 </t>
  </si>
  <si>
    <t>2434795.275 </t>
  </si>
  <si>
    <t> 21.02.1954 18:36 </t>
  </si>
  <si>
    <t>2435129.446 </t>
  </si>
  <si>
    <t> 21.01.1955 22:42 </t>
  </si>
  <si>
    <t> -0.019 </t>
  </si>
  <si>
    <t>2436252.366 </t>
  </si>
  <si>
    <t> 17.02.1958 20:47 </t>
  </si>
  <si>
    <t> -0.009 </t>
  </si>
  <si>
    <t>2456341.7074 </t>
  </si>
  <si>
    <t> 18.02.2013 04:58 </t>
  </si>
  <si>
    <t> 0.2215 </t>
  </si>
  <si>
    <t>2456341.7117 </t>
  </si>
  <si>
    <t> 18.02.2013 05:04 </t>
  </si>
  <si>
    <t> 0.2258 </t>
  </si>
  <si>
    <t>2456341.7119 </t>
  </si>
  <si>
    <t> 18.02.2013 05:05 </t>
  </si>
  <si>
    <t> 0.2260 </t>
  </si>
  <si>
    <t>R</t>
  </si>
  <si>
    <t>My time zone 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</si>
</sst>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3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0" borderId="0"/>
    <xf numFmtId="0" fontId="11" fillId="0" borderId="0"/>
  </cellStyleXfs>
  <cellXfs count="5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/>
    <xf numFmtId="0" fontId="2" fillId="0" borderId="0" xfId="0" applyFont="1">
      <alignment vertical="top"/>
    </xf>
    <xf numFmtId="0" fontId="2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>
      <alignment vertical="top"/>
    </xf>
    <xf numFmtId="0" fontId="4" fillId="0" borderId="0" xfId="0" applyFont="1" applyAlignment="1"/>
    <xf numFmtId="0" fontId="3" fillId="0" borderId="0" xfId="0" applyFont="1">
      <alignment vertical="top"/>
    </xf>
    <xf numFmtId="0" fontId="4" fillId="0" borderId="0" xfId="0" applyFont="1" applyAlignment="1">
      <alignment horizontal="center"/>
    </xf>
    <xf numFmtId="165" fontId="4" fillId="0" borderId="0" xfId="0" applyNumberFormat="1" applyFont="1">
      <alignment vertical="top"/>
    </xf>
    <xf numFmtId="0" fontId="4" fillId="0" borderId="0" xfId="0" applyFont="1" applyAlignment="1">
      <alignment horizontal="right"/>
    </xf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 applyAlignment="1">
      <alignment horizontal="left"/>
    </xf>
    <xf numFmtId="0" fontId="6" fillId="0" borderId="1" xfId="0" applyFont="1" applyBorder="1" applyAlignment="1"/>
    <xf numFmtId="0" fontId="6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7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7" applyFont="1" applyAlignment="1">
      <alignment horizontal="left"/>
    </xf>
    <xf numFmtId="0" fontId="8" fillId="0" borderId="0" xfId="7" applyFont="1" applyAlignment="1">
      <alignment horizontal="center" wrapText="1"/>
    </xf>
    <xf numFmtId="0" fontId="8" fillId="0" borderId="0" xfId="7" applyFont="1" applyAlignment="1">
      <alignment horizontal="left" wrapText="1"/>
    </xf>
    <xf numFmtId="0" fontId="8" fillId="0" borderId="0" xfId="6" applyFont="1"/>
    <xf numFmtId="0" fontId="8" fillId="0" borderId="0" xfId="6" applyFont="1" applyAlignment="1">
      <alignment horizontal="center"/>
    </xf>
    <xf numFmtId="0" fontId="8" fillId="0" borderId="0" xfId="6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0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6" fillId="2" borderId="10" xfId="0" applyFont="1" applyFill="1" applyBorder="1" applyAlignment="1">
      <alignment horizontal="left" vertical="top" wrapText="1" indent="1"/>
    </xf>
    <xf numFmtId="0" fontId="6" fillId="2" borderId="10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right" vertical="top" wrapText="1"/>
    </xf>
    <xf numFmtId="0" fontId="10" fillId="2" borderId="10" xfId="5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V0521 Mon - O-C Diagr.</a:t>
            </a:r>
          </a:p>
        </c:rich>
      </c:tx>
      <c:layout>
        <c:manualLayout>
          <c:xMode val="edge"/>
          <c:yMode val="edge"/>
          <c:x val="0.34838709677419355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1437774823602"/>
          <c:y val="0.1467802433786686"/>
          <c:w val="0.85828094215495787"/>
          <c:h val="0.68386987990137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1'!$F$21:$F$45</c:f>
              <c:numCache>
                <c:formatCode>General</c:formatCode>
                <c:ptCount val="25"/>
                <c:pt idx="0">
                  <c:v>-8043.5</c:v>
                </c:pt>
                <c:pt idx="1">
                  <c:v>-7785</c:v>
                </c:pt>
                <c:pt idx="2">
                  <c:v>-7782</c:v>
                </c:pt>
                <c:pt idx="3">
                  <c:v>-7682</c:v>
                </c:pt>
                <c:pt idx="4">
                  <c:v>-7665.5</c:v>
                </c:pt>
                <c:pt idx="5">
                  <c:v>-6798</c:v>
                </c:pt>
                <c:pt idx="6">
                  <c:v>-6798</c:v>
                </c:pt>
                <c:pt idx="7">
                  <c:v>-6793</c:v>
                </c:pt>
                <c:pt idx="8">
                  <c:v>-6562</c:v>
                </c:pt>
                <c:pt idx="9">
                  <c:v>-6435.5</c:v>
                </c:pt>
                <c:pt idx="10">
                  <c:v>-6240.5</c:v>
                </c:pt>
                <c:pt idx="11">
                  <c:v>-6201.5</c:v>
                </c:pt>
                <c:pt idx="12">
                  <c:v>-6196.5</c:v>
                </c:pt>
                <c:pt idx="13">
                  <c:v>-6084</c:v>
                </c:pt>
                <c:pt idx="14">
                  <c:v>-5706</c:v>
                </c:pt>
                <c:pt idx="15">
                  <c:v>-236</c:v>
                </c:pt>
                <c:pt idx="16">
                  <c:v>560</c:v>
                </c:pt>
                <c:pt idx="17">
                  <c:v>935</c:v>
                </c:pt>
                <c:pt idx="18">
                  <c:v>1056.5</c:v>
                </c:pt>
                <c:pt idx="19">
                  <c:v>1056.5</c:v>
                </c:pt>
                <c:pt idx="20">
                  <c:v>1056.5</c:v>
                </c:pt>
                <c:pt idx="21">
                  <c:v>1056.5</c:v>
                </c:pt>
                <c:pt idx="22">
                  <c:v>1547.5</c:v>
                </c:pt>
                <c:pt idx="23">
                  <c:v>1551</c:v>
                </c:pt>
                <c:pt idx="24">
                  <c:v>1762</c:v>
                </c:pt>
              </c:numCache>
            </c:numRef>
          </c:xVal>
          <c:yVal>
            <c:numRef>
              <c:f>'Active 1'!$H$21:$H$45</c:f>
              <c:numCache>
                <c:formatCode>General</c:formatCode>
                <c:ptCount val="25"/>
                <c:pt idx="6">
                  <c:v>-0.22687600000790553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3C-4ECB-879B-28853EB8B0E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1'!$F$21:$F$45</c:f>
              <c:numCache>
                <c:formatCode>General</c:formatCode>
                <c:ptCount val="25"/>
                <c:pt idx="0">
                  <c:v>-8043.5</c:v>
                </c:pt>
                <c:pt idx="1">
                  <c:v>-7785</c:v>
                </c:pt>
                <c:pt idx="2">
                  <c:v>-7782</c:v>
                </c:pt>
                <c:pt idx="3">
                  <c:v>-7682</c:v>
                </c:pt>
                <c:pt idx="4">
                  <c:v>-7665.5</c:v>
                </c:pt>
                <c:pt idx="5">
                  <c:v>-6798</c:v>
                </c:pt>
                <c:pt idx="6">
                  <c:v>-6798</c:v>
                </c:pt>
                <c:pt idx="7">
                  <c:v>-6793</c:v>
                </c:pt>
                <c:pt idx="8">
                  <c:v>-6562</c:v>
                </c:pt>
                <c:pt idx="9">
                  <c:v>-6435.5</c:v>
                </c:pt>
                <c:pt idx="10">
                  <c:v>-6240.5</c:v>
                </c:pt>
                <c:pt idx="11">
                  <c:v>-6201.5</c:v>
                </c:pt>
                <c:pt idx="12">
                  <c:v>-6196.5</c:v>
                </c:pt>
                <c:pt idx="13">
                  <c:v>-6084</c:v>
                </c:pt>
                <c:pt idx="14">
                  <c:v>-5706</c:v>
                </c:pt>
                <c:pt idx="15">
                  <c:v>-236</c:v>
                </c:pt>
                <c:pt idx="16">
                  <c:v>560</c:v>
                </c:pt>
                <c:pt idx="17">
                  <c:v>935</c:v>
                </c:pt>
                <c:pt idx="18">
                  <c:v>1056.5</c:v>
                </c:pt>
                <c:pt idx="19">
                  <c:v>1056.5</c:v>
                </c:pt>
                <c:pt idx="20">
                  <c:v>1056.5</c:v>
                </c:pt>
                <c:pt idx="21">
                  <c:v>1056.5</c:v>
                </c:pt>
                <c:pt idx="22">
                  <c:v>1547.5</c:v>
                </c:pt>
                <c:pt idx="23">
                  <c:v>1551</c:v>
                </c:pt>
                <c:pt idx="24">
                  <c:v>1762</c:v>
                </c:pt>
              </c:numCache>
            </c:numRef>
          </c:xVal>
          <c:yVal>
            <c:numRef>
              <c:f>'Active 1'!$I$21:$I$45</c:f>
              <c:numCache>
                <c:formatCode>General</c:formatCode>
                <c:ptCount val="25"/>
                <c:pt idx="15">
                  <c:v>-0.19643200000427896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3C-4ECB-879B-28853EB8B0E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1'!$F$21:$F$45</c:f>
              <c:numCache>
                <c:formatCode>General</c:formatCode>
                <c:ptCount val="25"/>
                <c:pt idx="0">
                  <c:v>-8043.5</c:v>
                </c:pt>
                <c:pt idx="1">
                  <c:v>-7785</c:v>
                </c:pt>
                <c:pt idx="2">
                  <c:v>-7782</c:v>
                </c:pt>
                <c:pt idx="3">
                  <c:v>-7682</c:v>
                </c:pt>
                <c:pt idx="4">
                  <c:v>-7665.5</c:v>
                </c:pt>
                <c:pt idx="5">
                  <c:v>-6798</c:v>
                </c:pt>
                <c:pt idx="6">
                  <c:v>-6798</c:v>
                </c:pt>
                <c:pt idx="7">
                  <c:v>-6793</c:v>
                </c:pt>
                <c:pt idx="8">
                  <c:v>-6562</c:v>
                </c:pt>
                <c:pt idx="9">
                  <c:v>-6435.5</c:v>
                </c:pt>
                <c:pt idx="10">
                  <c:v>-6240.5</c:v>
                </c:pt>
                <c:pt idx="11">
                  <c:v>-6201.5</c:v>
                </c:pt>
                <c:pt idx="12">
                  <c:v>-6196.5</c:v>
                </c:pt>
                <c:pt idx="13">
                  <c:v>-6084</c:v>
                </c:pt>
                <c:pt idx="14">
                  <c:v>-5706</c:v>
                </c:pt>
                <c:pt idx="15">
                  <c:v>-236</c:v>
                </c:pt>
                <c:pt idx="16">
                  <c:v>560</c:v>
                </c:pt>
                <c:pt idx="17">
                  <c:v>935</c:v>
                </c:pt>
                <c:pt idx="18">
                  <c:v>1056.5</c:v>
                </c:pt>
                <c:pt idx="19">
                  <c:v>1056.5</c:v>
                </c:pt>
                <c:pt idx="20">
                  <c:v>1056.5</c:v>
                </c:pt>
                <c:pt idx="21">
                  <c:v>1056.5</c:v>
                </c:pt>
                <c:pt idx="22">
                  <c:v>1547.5</c:v>
                </c:pt>
                <c:pt idx="23">
                  <c:v>1551</c:v>
                </c:pt>
                <c:pt idx="24">
                  <c:v>1762</c:v>
                </c:pt>
              </c:numCache>
            </c:numRef>
          </c:xVal>
          <c:yVal>
            <c:numRef>
              <c:f>'Active 1'!$J$21:$J$45</c:f>
              <c:numCache>
                <c:formatCode>General</c:formatCode>
                <c:ptCount val="25"/>
                <c:pt idx="16">
                  <c:v>-0.14908000000286847</c:v>
                </c:pt>
                <c:pt idx="17">
                  <c:v>-0.14083000000391621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3C-4ECB-879B-28853EB8B0E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1'!$F$21:$F$45</c:f>
              <c:numCache>
                <c:formatCode>General</c:formatCode>
                <c:ptCount val="25"/>
                <c:pt idx="0">
                  <c:v>-8043.5</c:v>
                </c:pt>
                <c:pt idx="1">
                  <c:v>-7785</c:v>
                </c:pt>
                <c:pt idx="2">
                  <c:v>-7782</c:v>
                </c:pt>
                <c:pt idx="3">
                  <c:v>-7682</c:v>
                </c:pt>
                <c:pt idx="4">
                  <c:v>-7665.5</c:v>
                </c:pt>
                <c:pt idx="5">
                  <c:v>-6798</c:v>
                </c:pt>
                <c:pt idx="6">
                  <c:v>-6798</c:v>
                </c:pt>
                <c:pt idx="7">
                  <c:v>-6793</c:v>
                </c:pt>
                <c:pt idx="8">
                  <c:v>-6562</c:v>
                </c:pt>
                <c:pt idx="9">
                  <c:v>-6435.5</c:v>
                </c:pt>
                <c:pt idx="10">
                  <c:v>-6240.5</c:v>
                </c:pt>
                <c:pt idx="11">
                  <c:v>-6201.5</c:v>
                </c:pt>
                <c:pt idx="12">
                  <c:v>-6196.5</c:v>
                </c:pt>
                <c:pt idx="13">
                  <c:v>-6084</c:v>
                </c:pt>
                <c:pt idx="14">
                  <c:v>-5706</c:v>
                </c:pt>
                <c:pt idx="15">
                  <c:v>-236</c:v>
                </c:pt>
                <c:pt idx="16">
                  <c:v>560</c:v>
                </c:pt>
                <c:pt idx="17">
                  <c:v>935</c:v>
                </c:pt>
                <c:pt idx="18">
                  <c:v>1056.5</c:v>
                </c:pt>
                <c:pt idx="19">
                  <c:v>1056.5</c:v>
                </c:pt>
                <c:pt idx="20">
                  <c:v>1056.5</c:v>
                </c:pt>
                <c:pt idx="21">
                  <c:v>1056.5</c:v>
                </c:pt>
                <c:pt idx="22">
                  <c:v>1547.5</c:v>
                </c:pt>
                <c:pt idx="23">
                  <c:v>1551</c:v>
                </c:pt>
                <c:pt idx="24">
                  <c:v>1762</c:v>
                </c:pt>
              </c:numCache>
            </c:numRef>
          </c:xVal>
          <c:yVal>
            <c:numRef>
              <c:f>'Active 1'!$K$21:$K$45</c:f>
              <c:numCache>
                <c:formatCode>General</c:formatCode>
                <c:ptCount val="25"/>
                <c:pt idx="0">
                  <c:v>-0.32724700000107987</c:v>
                </c:pt>
                <c:pt idx="1">
                  <c:v>-0.24217000000135158</c:v>
                </c:pt>
                <c:pt idx="2">
                  <c:v>-0.19008400000166148</c:v>
                </c:pt>
                <c:pt idx="3">
                  <c:v>-0.17288400000325055</c:v>
                </c:pt>
                <c:pt idx="4">
                  <c:v>-0.29541100000278675</c:v>
                </c:pt>
                <c:pt idx="5">
                  <c:v>-0.31287600001087412</c:v>
                </c:pt>
                <c:pt idx="7">
                  <c:v>-0.14206600000034086</c:v>
                </c:pt>
                <c:pt idx="8">
                  <c:v>-0.32244400000490714</c:v>
                </c:pt>
                <c:pt idx="9">
                  <c:v>-0.20315100000880193</c:v>
                </c:pt>
                <c:pt idx="10">
                  <c:v>-0.19556100000772858</c:v>
                </c:pt>
                <c:pt idx="11">
                  <c:v>-0.15144300000247313</c:v>
                </c:pt>
                <c:pt idx="12">
                  <c:v>-0.20163299999694573</c:v>
                </c:pt>
                <c:pt idx="13">
                  <c:v>-0.22740799999883166</c:v>
                </c:pt>
                <c:pt idx="14">
                  <c:v>-0.20857199999591103</c:v>
                </c:pt>
                <c:pt idx="18">
                  <c:v>0.19336299999849871</c:v>
                </c:pt>
                <c:pt idx="19">
                  <c:v>0.19770299999800045</c:v>
                </c:pt>
                <c:pt idx="20">
                  <c:v>0.19788299999345327</c:v>
                </c:pt>
                <c:pt idx="21">
                  <c:v>0.19865299999219133</c:v>
                </c:pt>
                <c:pt idx="22">
                  <c:v>0.20519500022055581</c:v>
                </c:pt>
                <c:pt idx="23">
                  <c:v>-9.7938000006251968E-2</c:v>
                </c:pt>
                <c:pt idx="24">
                  <c:v>-0.10322599999926751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3C-4ECB-879B-28853EB8B0E1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1'!$F$21:$F$45</c:f>
              <c:numCache>
                <c:formatCode>General</c:formatCode>
                <c:ptCount val="25"/>
                <c:pt idx="0">
                  <c:v>-8043.5</c:v>
                </c:pt>
                <c:pt idx="1">
                  <c:v>-7785</c:v>
                </c:pt>
                <c:pt idx="2">
                  <c:v>-7782</c:v>
                </c:pt>
                <c:pt idx="3">
                  <c:v>-7682</c:v>
                </c:pt>
                <c:pt idx="4">
                  <c:v>-7665.5</c:v>
                </c:pt>
                <c:pt idx="5">
                  <c:v>-6798</c:v>
                </c:pt>
                <c:pt idx="6">
                  <c:v>-6798</c:v>
                </c:pt>
                <c:pt idx="7">
                  <c:v>-6793</c:v>
                </c:pt>
                <c:pt idx="8">
                  <c:v>-6562</c:v>
                </c:pt>
                <c:pt idx="9">
                  <c:v>-6435.5</c:v>
                </c:pt>
                <c:pt idx="10">
                  <c:v>-6240.5</c:v>
                </c:pt>
                <c:pt idx="11">
                  <c:v>-6201.5</c:v>
                </c:pt>
                <c:pt idx="12">
                  <c:v>-6196.5</c:v>
                </c:pt>
                <c:pt idx="13">
                  <c:v>-6084</c:v>
                </c:pt>
                <c:pt idx="14">
                  <c:v>-5706</c:v>
                </c:pt>
                <c:pt idx="15">
                  <c:v>-236</c:v>
                </c:pt>
                <c:pt idx="16">
                  <c:v>560</c:v>
                </c:pt>
                <c:pt idx="17">
                  <c:v>935</c:v>
                </c:pt>
                <c:pt idx="18">
                  <c:v>1056.5</c:v>
                </c:pt>
                <c:pt idx="19">
                  <c:v>1056.5</c:v>
                </c:pt>
                <c:pt idx="20">
                  <c:v>1056.5</c:v>
                </c:pt>
                <c:pt idx="21">
                  <c:v>1056.5</c:v>
                </c:pt>
                <c:pt idx="22">
                  <c:v>1547.5</c:v>
                </c:pt>
                <c:pt idx="23">
                  <c:v>1551</c:v>
                </c:pt>
                <c:pt idx="24">
                  <c:v>1762</c:v>
                </c:pt>
              </c:numCache>
            </c:numRef>
          </c:xVal>
          <c:yVal>
            <c:numRef>
              <c:f>'Active 1'!$L$21:$L$45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3C-4ECB-879B-28853EB8B0E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1'!$F$21:$F$45</c:f>
              <c:numCache>
                <c:formatCode>General</c:formatCode>
                <c:ptCount val="25"/>
                <c:pt idx="0">
                  <c:v>-8043.5</c:v>
                </c:pt>
                <c:pt idx="1">
                  <c:v>-7785</c:v>
                </c:pt>
                <c:pt idx="2">
                  <c:v>-7782</c:v>
                </c:pt>
                <c:pt idx="3">
                  <c:v>-7682</c:v>
                </c:pt>
                <c:pt idx="4">
                  <c:v>-7665.5</c:v>
                </c:pt>
                <c:pt idx="5">
                  <c:v>-6798</c:v>
                </c:pt>
                <c:pt idx="6">
                  <c:v>-6798</c:v>
                </c:pt>
                <c:pt idx="7">
                  <c:v>-6793</c:v>
                </c:pt>
                <c:pt idx="8">
                  <c:v>-6562</c:v>
                </c:pt>
                <c:pt idx="9">
                  <c:v>-6435.5</c:v>
                </c:pt>
                <c:pt idx="10">
                  <c:v>-6240.5</c:v>
                </c:pt>
                <c:pt idx="11">
                  <c:v>-6201.5</c:v>
                </c:pt>
                <c:pt idx="12">
                  <c:v>-6196.5</c:v>
                </c:pt>
                <c:pt idx="13">
                  <c:v>-6084</c:v>
                </c:pt>
                <c:pt idx="14">
                  <c:v>-5706</c:v>
                </c:pt>
                <c:pt idx="15">
                  <c:v>-236</c:v>
                </c:pt>
                <c:pt idx="16">
                  <c:v>560</c:v>
                </c:pt>
                <c:pt idx="17">
                  <c:v>935</c:v>
                </c:pt>
                <c:pt idx="18">
                  <c:v>1056.5</c:v>
                </c:pt>
                <c:pt idx="19">
                  <c:v>1056.5</c:v>
                </c:pt>
                <c:pt idx="20">
                  <c:v>1056.5</c:v>
                </c:pt>
                <c:pt idx="21">
                  <c:v>1056.5</c:v>
                </c:pt>
                <c:pt idx="22">
                  <c:v>1547.5</c:v>
                </c:pt>
                <c:pt idx="23">
                  <c:v>1551</c:v>
                </c:pt>
                <c:pt idx="24">
                  <c:v>1762</c:v>
                </c:pt>
              </c:numCache>
            </c:numRef>
          </c:xVal>
          <c:yVal>
            <c:numRef>
              <c:f>'Active 1'!$M$21:$M$45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3C-4ECB-879B-28853EB8B0E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1'!$F$21:$F$45</c:f>
              <c:numCache>
                <c:formatCode>General</c:formatCode>
                <c:ptCount val="25"/>
                <c:pt idx="0">
                  <c:v>-8043.5</c:v>
                </c:pt>
                <c:pt idx="1">
                  <c:v>-7785</c:v>
                </c:pt>
                <c:pt idx="2">
                  <c:v>-7782</c:v>
                </c:pt>
                <c:pt idx="3">
                  <c:v>-7682</c:v>
                </c:pt>
                <c:pt idx="4">
                  <c:v>-7665.5</c:v>
                </c:pt>
                <c:pt idx="5">
                  <c:v>-6798</c:v>
                </c:pt>
                <c:pt idx="6">
                  <c:v>-6798</c:v>
                </c:pt>
                <c:pt idx="7">
                  <c:v>-6793</c:v>
                </c:pt>
                <c:pt idx="8">
                  <c:v>-6562</c:v>
                </c:pt>
                <c:pt idx="9">
                  <c:v>-6435.5</c:v>
                </c:pt>
                <c:pt idx="10">
                  <c:v>-6240.5</c:v>
                </c:pt>
                <c:pt idx="11">
                  <c:v>-6201.5</c:v>
                </c:pt>
                <c:pt idx="12">
                  <c:v>-6196.5</c:v>
                </c:pt>
                <c:pt idx="13">
                  <c:v>-6084</c:v>
                </c:pt>
                <c:pt idx="14">
                  <c:v>-5706</c:v>
                </c:pt>
                <c:pt idx="15">
                  <c:v>-236</c:v>
                </c:pt>
                <c:pt idx="16">
                  <c:v>560</c:v>
                </c:pt>
                <c:pt idx="17">
                  <c:v>935</c:v>
                </c:pt>
                <c:pt idx="18">
                  <c:v>1056.5</c:v>
                </c:pt>
                <c:pt idx="19">
                  <c:v>1056.5</c:v>
                </c:pt>
                <c:pt idx="20">
                  <c:v>1056.5</c:v>
                </c:pt>
                <c:pt idx="21">
                  <c:v>1056.5</c:v>
                </c:pt>
                <c:pt idx="22">
                  <c:v>1547.5</c:v>
                </c:pt>
                <c:pt idx="23">
                  <c:v>1551</c:v>
                </c:pt>
                <c:pt idx="24">
                  <c:v>1762</c:v>
                </c:pt>
              </c:numCache>
            </c:numRef>
          </c:xVal>
          <c:yVal>
            <c:numRef>
              <c:f>'Active 1'!$N$21:$N$45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3C-4ECB-879B-28853EB8B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017616"/>
        <c:axId val="1"/>
      </c:scatterChart>
      <c:valAx>
        <c:axId val="805017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0322580645165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6506118553362651E-2"/>
              <c:y val="0.37926127415891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017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22575587142507"/>
          <c:y val="0.92515771892149845"/>
          <c:w val="0.3467741935483870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V0521 Mon - Prim. O-C Diagr.</a:t>
            </a:r>
          </a:p>
        </c:rich>
      </c:tx>
      <c:layout>
        <c:manualLayout>
          <c:xMode val="edge"/>
          <c:yMode val="edge"/>
          <c:x val="0.25987547814319467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95236867403589"/>
          <c:y val="0.24374999999999999"/>
          <c:w val="0.74844150821196509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1'!$F$21:$F$45</c:f>
              <c:numCache>
                <c:formatCode>General</c:formatCode>
                <c:ptCount val="25"/>
                <c:pt idx="0">
                  <c:v>-8043.5</c:v>
                </c:pt>
                <c:pt idx="1">
                  <c:v>-7785</c:v>
                </c:pt>
                <c:pt idx="2">
                  <c:v>-7782</c:v>
                </c:pt>
                <c:pt idx="3">
                  <c:v>-7682</c:v>
                </c:pt>
                <c:pt idx="4">
                  <c:v>-7665.5</c:v>
                </c:pt>
                <c:pt idx="5">
                  <c:v>-6798</c:v>
                </c:pt>
                <c:pt idx="6">
                  <c:v>-6798</c:v>
                </c:pt>
                <c:pt idx="7">
                  <c:v>-6793</c:v>
                </c:pt>
                <c:pt idx="8">
                  <c:v>-6562</c:v>
                </c:pt>
                <c:pt idx="9">
                  <c:v>-6435.5</c:v>
                </c:pt>
                <c:pt idx="10">
                  <c:v>-6240.5</c:v>
                </c:pt>
                <c:pt idx="11">
                  <c:v>-6201.5</c:v>
                </c:pt>
                <c:pt idx="12">
                  <c:v>-6196.5</c:v>
                </c:pt>
                <c:pt idx="13">
                  <c:v>-6084</c:v>
                </c:pt>
                <c:pt idx="14">
                  <c:v>-5706</c:v>
                </c:pt>
                <c:pt idx="15">
                  <c:v>-236</c:v>
                </c:pt>
                <c:pt idx="16">
                  <c:v>560</c:v>
                </c:pt>
                <c:pt idx="17">
                  <c:v>935</c:v>
                </c:pt>
                <c:pt idx="18">
                  <c:v>1056.5</c:v>
                </c:pt>
                <c:pt idx="19">
                  <c:v>1056.5</c:v>
                </c:pt>
                <c:pt idx="20">
                  <c:v>1056.5</c:v>
                </c:pt>
                <c:pt idx="21">
                  <c:v>1056.5</c:v>
                </c:pt>
                <c:pt idx="22">
                  <c:v>1547.5</c:v>
                </c:pt>
                <c:pt idx="23">
                  <c:v>1551</c:v>
                </c:pt>
                <c:pt idx="24">
                  <c:v>1762</c:v>
                </c:pt>
              </c:numCache>
            </c:numRef>
          </c:xVal>
          <c:yVal>
            <c:numRef>
              <c:f>'Active 1'!$R$21:$R$45</c:f>
              <c:numCache>
                <c:formatCode>General</c:formatCode>
                <c:ptCount val="25"/>
                <c:pt idx="0">
                  <c:v>-0.32724700000107987</c:v>
                </c:pt>
                <c:pt idx="1">
                  <c:v>-0.24217000000135158</c:v>
                </c:pt>
                <c:pt idx="2">
                  <c:v>-0.19008400000166148</c:v>
                </c:pt>
                <c:pt idx="3">
                  <c:v>-0.17288400000325055</c:v>
                </c:pt>
                <c:pt idx="5">
                  <c:v>-0.31287600001087412</c:v>
                </c:pt>
                <c:pt idx="6">
                  <c:v>-0.22687600000790553</c:v>
                </c:pt>
                <c:pt idx="7">
                  <c:v>-0.14206600000034086</c:v>
                </c:pt>
                <c:pt idx="8">
                  <c:v>-0.32244400000490714</c:v>
                </c:pt>
                <c:pt idx="13">
                  <c:v>-0.22740799999883166</c:v>
                </c:pt>
                <c:pt idx="14">
                  <c:v>-0.20857199999591103</c:v>
                </c:pt>
                <c:pt idx="15">
                  <c:v>-0.19643200000427896</c:v>
                </c:pt>
                <c:pt idx="16">
                  <c:v>-0.14908000000286847</c:v>
                </c:pt>
                <c:pt idx="17">
                  <c:v>-0.14083000000391621</c:v>
                </c:pt>
                <c:pt idx="23">
                  <c:v>-9.7938000006251968E-2</c:v>
                </c:pt>
                <c:pt idx="24">
                  <c:v>-0.10322599999926751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1-4E35-B564-9E9BA4BD023D}"/>
            </c:ext>
          </c:extLst>
        </c:ser>
        <c:ser>
          <c:idx val="1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1'!$F$21:$F$45</c:f>
              <c:numCache>
                <c:formatCode>General</c:formatCode>
                <c:ptCount val="25"/>
                <c:pt idx="0">
                  <c:v>-8043.5</c:v>
                </c:pt>
                <c:pt idx="1">
                  <c:v>-7785</c:v>
                </c:pt>
                <c:pt idx="2">
                  <c:v>-7782</c:v>
                </c:pt>
                <c:pt idx="3">
                  <c:v>-7682</c:v>
                </c:pt>
                <c:pt idx="4">
                  <c:v>-7665.5</c:v>
                </c:pt>
                <c:pt idx="5">
                  <c:v>-6798</c:v>
                </c:pt>
                <c:pt idx="6">
                  <c:v>-6798</c:v>
                </c:pt>
                <c:pt idx="7">
                  <c:v>-6793</c:v>
                </c:pt>
                <c:pt idx="8">
                  <c:v>-6562</c:v>
                </c:pt>
                <c:pt idx="9">
                  <c:v>-6435.5</c:v>
                </c:pt>
                <c:pt idx="10">
                  <c:v>-6240.5</c:v>
                </c:pt>
                <c:pt idx="11">
                  <c:v>-6201.5</c:v>
                </c:pt>
                <c:pt idx="12">
                  <c:v>-6196.5</c:v>
                </c:pt>
                <c:pt idx="13">
                  <c:v>-6084</c:v>
                </c:pt>
                <c:pt idx="14">
                  <c:v>-5706</c:v>
                </c:pt>
                <c:pt idx="15">
                  <c:v>-236</c:v>
                </c:pt>
                <c:pt idx="16">
                  <c:v>560</c:v>
                </c:pt>
                <c:pt idx="17">
                  <c:v>935</c:v>
                </c:pt>
                <c:pt idx="18">
                  <c:v>1056.5</c:v>
                </c:pt>
                <c:pt idx="19">
                  <c:v>1056.5</c:v>
                </c:pt>
                <c:pt idx="20">
                  <c:v>1056.5</c:v>
                </c:pt>
                <c:pt idx="21">
                  <c:v>1056.5</c:v>
                </c:pt>
                <c:pt idx="22">
                  <c:v>1547.5</c:v>
                </c:pt>
                <c:pt idx="23">
                  <c:v>1551</c:v>
                </c:pt>
                <c:pt idx="24">
                  <c:v>1762</c:v>
                </c:pt>
              </c:numCache>
            </c:numRef>
          </c:xVal>
          <c:yVal>
            <c:numRef>
              <c:f>'Active 1'!$O$21:$O$45</c:f>
              <c:numCache>
                <c:formatCode>General</c:formatCode>
                <c:ptCount val="25"/>
                <c:pt idx="0">
                  <c:v>-0.25130474042626127</c:v>
                </c:pt>
                <c:pt idx="1">
                  <c:v>-0.24798192057353546</c:v>
                </c:pt>
                <c:pt idx="2">
                  <c:v>-0.24794335786731425</c:v>
                </c:pt>
                <c:pt idx="3">
                  <c:v>-0.24665793432660793</c:v>
                </c:pt>
                <c:pt idx="4">
                  <c:v>-0.2464458394423914</c:v>
                </c:pt>
                <c:pt idx="5">
                  <c:v>-0.23529479022676411</c:v>
                </c:pt>
                <c:pt idx="6">
                  <c:v>-0.23529479022676411</c:v>
                </c:pt>
                <c:pt idx="7">
                  <c:v>-0.2352305190497288</c:v>
                </c:pt>
                <c:pt idx="8">
                  <c:v>-0.23226119067069723</c:v>
                </c:pt>
                <c:pt idx="9">
                  <c:v>-0.23063512989170371</c:v>
                </c:pt>
                <c:pt idx="10">
                  <c:v>-0.2281285539873264</c:v>
                </c:pt>
                <c:pt idx="11">
                  <c:v>-0.22762723880645094</c:v>
                </c:pt>
                <c:pt idx="12">
                  <c:v>-0.22756296762941564</c:v>
                </c:pt>
                <c:pt idx="13">
                  <c:v>-0.22611686614612103</c:v>
                </c:pt>
                <c:pt idx="14">
                  <c:v>-0.22125796516225116</c:v>
                </c:pt>
                <c:pt idx="15">
                  <c:v>-0.15094529748561572</c:v>
                </c:pt>
                <c:pt idx="16">
                  <c:v>-0.14071332610159346</c:v>
                </c:pt>
                <c:pt idx="17">
                  <c:v>-0.13589298782394477</c:v>
                </c:pt>
                <c:pt idx="18">
                  <c:v>-0.13433119822198658</c:v>
                </c:pt>
                <c:pt idx="19">
                  <c:v>-0.13433119822198658</c:v>
                </c:pt>
                <c:pt idx="20">
                  <c:v>-0.13433119822198658</c:v>
                </c:pt>
                <c:pt idx="21">
                  <c:v>-0.13433119822198658</c:v>
                </c:pt>
                <c:pt idx="22">
                  <c:v>-0.12801976863711859</c:v>
                </c:pt>
                <c:pt idx="23">
                  <c:v>-0.12797477881319386</c:v>
                </c:pt>
                <c:pt idx="24">
                  <c:v>-0.12526253514230354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C1-4E35-B564-9E9BA4BD0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813080"/>
        <c:axId val="1"/>
      </c:scatterChart>
      <c:valAx>
        <c:axId val="80281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6528066528066532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8130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69482323025628"/>
          <c:y val="0.89687499999999998"/>
          <c:w val="0.3056135238812404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V0521 Mon - Sec. O-C Diagr.</a:t>
            </a:r>
          </a:p>
        </c:rich>
      </c:tx>
      <c:layout>
        <c:manualLayout>
          <c:xMode val="edge"/>
          <c:yMode val="edge"/>
          <c:x val="0.2632655203813809"/>
          <c:y val="5.3124999999999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8792389581064"/>
          <c:y val="0.24374999999999999"/>
          <c:w val="0.76326606671124309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1'!$F$21:$F$45</c:f>
              <c:numCache>
                <c:formatCode>General</c:formatCode>
                <c:ptCount val="25"/>
                <c:pt idx="0">
                  <c:v>-8043.5</c:v>
                </c:pt>
                <c:pt idx="1">
                  <c:v>-7785</c:v>
                </c:pt>
                <c:pt idx="2">
                  <c:v>-7782</c:v>
                </c:pt>
                <c:pt idx="3">
                  <c:v>-7682</c:v>
                </c:pt>
                <c:pt idx="4">
                  <c:v>-7665.5</c:v>
                </c:pt>
                <c:pt idx="5">
                  <c:v>-6798</c:v>
                </c:pt>
                <c:pt idx="6">
                  <c:v>-6798</c:v>
                </c:pt>
                <c:pt idx="7">
                  <c:v>-6793</c:v>
                </c:pt>
                <c:pt idx="8">
                  <c:v>-6562</c:v>
                </c:pt>
                <c:pt idx="9">
                  <c:v>-6435.5</c:v>
                </c:pt>
                <c:pt idx="10">
                  <c:v>-6240.5</c:v>
                </c:pt>
                <c:pt idx="11">
                  <c:v>-6201.5</c:v>
                </c:pt>
                <c:pt idx="12">
                  <c:v>-6196.5</c:v>
                </c:pt>
                <c:pt idx="13">
                  <c:v>-6084</c:v>
                </c:pt>
                <c:pt idx="14">
                  <c:v>-5706</c:v>
                </c:pt>
                <c:pt idx="15">
                  <c:v>-236</c:v>
                </c:pt>
                <c:pt idx="16">
                  <c:v>560</c:v>
                </c:pt>
                <c:pt idx="17">
                  <c:v>935</c:v>
                </c:pt>
                <c:pt idx="18">
                  <c:v>1056.5</c:v>
                </c:pt>
                <c:pt idx="19">
                  <c:v>1056.5</c:v>
                </c:pt>
                <c:pt idx="20">
                  <c:v>1056.5</c:v>
                </c:pt>
                <c:pt idx="21">
                  <c:v>1056.5</c:v>
                </c:pt>
                <c:pt idx="22">
                  <c:v>1547.5</c:v>
                </c:pt>
                <c:pt idx="23">
                  <c:v>1551</c:v>
                </c:pt>
                <c:pt idx="24">
                  <c:v>1762</c:v>
                </c:pt>
              </c:numCache>
            </c:numRef>
          </c:xVal>
          <c:yVal>
            <c:numRef>
              <c:f>'Active 1'!$S$21:$S$45</c:f>
              <c:numCache>
                <c:formatCode>General</c:formatCode>
                <c:ptCount val="25"/>
                <c:pt idx="4">
                  <c:v>-0.29541100000278675</c:v>
                </c:pt>
                <c:pt idx="9">
                  <c:v>-0.20315100000880193</c:v>
                </c:pt>
                <c:pt idx="10">
                  <c:v>-0.19556100000772858</c:v>
                </c:pt>
                <c:pt idx="11">
                  <c:v>-0.15144300000247313</c:v>
                </c:pt>
                <c:pt idx="12">
                  <c:v>-0.20163299999694573</c:v>
                </c:pt>
                <c:pt idx="18">
                  <c:v>0.19336299999849871</c:v>
                </c:pt>
                <c:pt idx="19">
                  <c:v>0.19770299999800045</c:v>
                </c:pt>
                <c:pt idx="20">
                  <c:v>0.19788299999345327</c:v>
                </c:pt>
                <c:pt idx="21">
                  <c:v>0.19865299999219133</c:v>
                </c:pt>
                <c:pt idx="22">
                  <c:v>0.20519500022055581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D7-4184-9BD7-30B37FF46E18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1'!$F$21:$F$45</c:f>
              <c:numCache>
                <c:formatCode>General</c:formatCode>
                <c:ptCount val="25"/>
                <c:pt idx="0">
                  <c:v>-8043.5</c:v>
                </c:pt>
                <c:pt idx="1">
                  <c:v>-7785</c:v>
                </c:pt>
                <c:pt idx="2">
                  <c:v>-7782</c:v>
                </c:pt>
                <c:pt idx="3">
                  <c:v>-7682</c:v>
                </c:pt>
                <c:pt idx="4">
                  <c:v>-7665.5</c:v>
                </c:pt>
                <c:pt idx="5">
                  <c:v>-6798</c:v>
                </c:pt>
                <c:pt idx="6">
                  <c:v>-6798</c:v>
                </c:pt>
                <c:pt idx="7">
                  <c:v>-6793</c:v>
                </c:pt>
                <c:pt idx="8">
                  <c:v>-6562</c:v>
                </c:pt>
                <c:pt idx="9">
                  <c:v>-6435.5</c:v>
                </c:pt>
                <c:pt idx="10">
                  <c:v>-6240.5</c:v>
                </c:pt>
                <c:pt idx="11">
                  <c:v>-6201.5</c:v>
                </c:pt>
                <c:pt idx="12">
                  <c:v>-6196.5</c:v>
                </c:pt>
                <c:pt idx="13">
                  <c:v>-6084</c:v>
                </c:pt>
                <c:pt idx="14">
                  <c:v>-5706</c:v>
                </c:pt>
                <c:pt idx="15">
                  <c:v>-236</c:v>
                </c:pt>
                <c:pt idx="16">
                  <c:v>560</c:v>
                </c:pt>
                <c:pt idx="17">
                  <c:v>935</c:v>
                </c:pt>
                <c:pt idx="18">
                  <c:v>1056.5</c:v>
                </c:pt>
                <c:pt idx="19">
                  <c:v>1056.5</c:v>
                </c:pt>
                <c:pt idx="20">
                  <c:v>1056.5</c:v>
                </c:pt>
                <c:pt idx="21">
                  <c:v>1056.5</c:v>
                </c:pt>
                <c:pt idx="22">
                  <c:v>1547.5</c:v>
                </c:pt>
                <c:pt idx="23">
                  <c:v>1551</c:v>
                </c:pt>
                <c:pt idx="24">
                  <c:v>1762</c:v>
                </c:pt>
              </c:numCache>
            </c:numRef>
          </c:xVal>
          <c:yVal>
            <c:numRef>
              <c:f>'Active 1'!$P$21:$P$45</c:f>
              <c:numCache>
                <c:formatCode>General</c:formatCode>
                <c:ptCount val="25"/>
                <c:pt idx="0">
                  <c:v>-0.28980714594994555</c:v>
                </c:pt>
                <c:pt idx="1">
                  <c:v>-0.2760592068576086</c:v>
                </c:pt>
                <c:pt idx="2">
                  <c:v>-0.27589965630721397</c:v>
                </c:pt>
                <c:pt idx="3">
                  <c:v>-0.2705813046273931</c:v>
                </c:pt>
                <c:pt idx="4">
                  <c:v>-0.26970377660022266</c:v>
                </c:pt>
                <c:pt idx="5">
                  <c:v>-0.22356707577777668</c:v>
                </c:pt>
                <c:pt idx="6">
                  <c:v>-0.22356707577777668</c:v>
                </c:pt>
                <c:pt idx="7">
                  <c:v>-0.2233011581937856</c:v>
                </c:pt>
                <c:pt idx="8">
                  <c:v>-0.21101576581339943</c:v>
                </c:pt>
                <c:pt idx="9">
                  <c:v>-0.204288050938426</c:v>
                </c:pt>
                <c:pt idx="10">
                  <c:v>-0.19391726516277535</c:v>
                </c:pt>
                <c:pt idx="11">
                  <c:v>-0.1918431080076452</c:v>
                </c:pt>
                <c:pt idx="12">
                  <c:v>-0.19157719042365418</c:v>
                </c:pt>
                <c:pt idx="13">
                  <c:v>-0.18559404478385566</c:v>
                </c:pt>
                <c:pt idx="14">
                  <c:v>-0.16549067543413282</c:v>
                </c:pt>
                <c:pt idx="15">
                  <c:v>0.12542316145206855</c:v>
                </c:pt>
                <c:pt idx="16">
                  <c:v>0.16775724082344265</c:v>
                </c:pt>
                <c:pt idx="17">
                  <c:v>0.18770105962277089</c:v>
                </c:pt>
                <c:pt idx="18">
                  <c:v>0.19416285691375326</c:v>
                </c:pt>
                <c:pt idx="19">
                  <c:v>0.19416285691375326</c:v>
                </c:pt>
                <c:pt idx="20">
                  <c:v>0.19416285691375326</c:v>
                </c:pt>
                <c:pt idx="21">
                  <c:v>0.19416285691375326</c:v>
                </c:pt>
                <c:pt idx="22">
                  <c:v>0.22027596366167371</c:v>
                </c:pt>
                <c:pt idx="23">
                  <c:v>0.22046210597046745</c:v>
                </c:pt>
                <c:pt idx="24">
                  <c:v>0.23168382801488946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D7-4184-9BD7-30B37FF46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266040"/>
        <c:axId val="1"/>
      </c:scatterChart>
      <c:valAx>
        <c:axId val="806266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614280357809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7346938775510207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266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30655096684339"/>
          <c:y val="0.89687499999999998"/>
          <c:w val="0.3326534897423536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18</xdr:col>
      <xdr:colOff>523875</xdr:colOff>
      <xdr:row>18</xdr:row>
      <xdr:rowOff>133350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45A7B432-299A-2EE6-0FAD-B1BCEF978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12</xdr:col>
      <xdr:colOff>304800</xdr:colOff>
      <xdr:row>20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FE5726-D9A7-A75A-AB0B-72CEA797F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21</xdr:row>
      <xdr:rowOff>38099</xdr:rowOff>
    </xdr:from>
    <xdr:to>
      <xdr:col>12</xdr:col>
      <xdr:colOff>361949</xdr:colOff>
      <xdr:row>40</xdr:row>
      <xdr:rowOff>76199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59610B9-80F1-BA5D-C9A2-B270668A5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sfs/BAVM_link.php?BAVMnr=209" TargetMode="External"/><Relationship Id="rId6" Type="http://schemas.openxmlformats.org/officeDocument/2006/relationships/hyperlink" Target="http://www.konkoly.hu/cgi-bin/IBVS?6063" TargetMode="External"/><Relationship Id="rId5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pane xSplit="12" ySplit="22" topLeftCell="M32" activePane="bottomRight" state="frozen"/>
      <selection pane="topRight" activeCell="M1" sqref="M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0.42578125" style="1" customWidth="1"/>
    <col min="4" max="4" width="8.28515625" style="1" customWidth="1"/>
    <col min="5" max="5" width="9.42578125" style="1" customWidth="1"/>
    <col min="6" max="6" width="16.85546875" style="1" customWidth="1"/>
    <col min="7" max="7" width="9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/>
    </row>
    <row r="2" spans="1:6" x14ac:dyDescent="0.2">
      <c r="A2" s="1" t="s">
        <v>1</v>
      </c>
      <c r="B2" s="1" t="s">
        <v>2</v>
      </c>
      <c r="C2" s="4"/>
      <c r="D2" s="4"/>
      <c r="E2" s="1">
        <v>0</v>
      </c>
    </row>
    <row r="4" spans="1:6" x14ac:dyDescent="0.2">
      <c r="A4" s="5" t="s">
        <v>3</v>
      </c>
      <c r="C4" s="6">
        <v>33008.411</v>
      </c>
      <c r="D4" s="7">
        <v>2.9706633</v>
      </c>
    </row>
    <row r="5" spans="1:6" x14ac:dyDescent="0.2">
      <c r="A5" s="5" t="s">
        <v>133</v>
      </c>
      <c r="C5" s="58">
        <v>-9.5</v>
      </c>
    </row>
    <row r="6" spans="1:6" x14ac:dyDescent="0.2">
      <c r="A6" s="5" t="s">
        <v>4</v>
      </c>
    </row>
    <row r="7" spans="1:6" x14ac:dyDescent="0.2">
      <c r="A7" s="1" t="s">
        <v>5</v>
      </c>
      <c r="C7" s="1">
        <v>53203.035000000003</v>
      </c>
    </row>
    <row r="8" spans="1:6" x14ac:dyDescent="0.2">
      <c r="A8" s="1" t="s">
        <v>6</v>
      </c>
      <c r="C8" s="1">
        <v>2.9706380000000001</v>
      </c>
      <c r="D8" s="8" t="s">
        <v>7</v>
      </c>
    </row>
    <row r="9" spans="1:6" x14ac:dyDescent="0.2">
      <c r="A9" s="9" t="s">
        <v>8</v>
      </c>
      <c r="B9" s="9"/>
      <c r="C9" s="10">
        <v>21</v>
      </c>
      <c r="D9" s="10">
        <v>21</v>
      </c>
    </row>
    <row r="10" spans="1:6" x14ac:dyDescent="0.2">
      <c r="A10"/>
      <c r="B10"/>
      <c r="C10" s="11" t="s">
        <v>9</v>
      </c>
      <c r="D10" s="11" t="s">
        <v>10</v>
      </c>
    </row>
    <row r="11" spans="1:6" x14ac:dyDescent="0.2">
      <c r="A11" t="s">
        <v>11</v>
      </c>
      <c r="B11"/>
      <c r="C11" s="12">
        <f ca="1">INTERCEPT(INDIRECT(C14):R$932,INDIRECT(C13):$F$932)</f>
        <v>-0.14791169792954881</v>
      </c>
      <c r="D11" s="12">
        <f ca="1">INTERCEPT(INDIRECT(D14):S$932,INDIRECT(D13):$F$932)</f>
        <v>0.13797447141644581</v>
      </c>
      <c r="E11" s="9" t="s">
        <v>12</v>
      </c>
      <c r="F11" s="1">
        <v>1</v>
      </c>
    </row>
    <row r="12" spans="1:6" x14ac:dyDescent="0.2">
      <c r="A12" t="s">
        <v>13</v>
      </c>
      <c r="B12"/>
      <c r="C12" s="12">
        <f ca="1">SLOPE(INDIRECT(C14):R$932,INDIRECT(C13):$F$932)</f>
        <v>1.2854235407063152E-5</v>
      </c>
      <c r="D12" s="12">
        <f ca="1">SLOPE(INDIRECT(D14):S$932,INDIRECT(D13):$F$932)</f>
        <v>5.3183516798208661E-5</v>
      </c>
      <c r="E12" s="9" t="s">
        <v>14</v>
      </c>
      <c r="F12" s="12">
        <f ca="1">NOW()+15018.5+$C$5/24</f>
        <v>60365.697227314813</v>
      </c>
    </row>
    <row r="13" spans="1:6" x14ac:dyDescent="0.2">
      <c r="A13" s="9" t="s">
        <v>15</v>
      </c>
      <c r="B13" s="9"/>
      <c r="C13" s="10" t="str">
        <f>"F"&amp;C9</f>
        <v>F21</v>
      </c>
      <c r="D13" s="10" t="str">
        <f>"F"&amp;D9</f>
        <v>F21</v>
      </c>
      <c r="E13" s="9" t="s">
        <v>16</v>
      </c>
      <c r="F13" s="12">
        <f ca="1">ROUND(2*(F12-$C$7)/$C$8,0)/2+F11</f>
        <v>2412</v>
      </c>
    </row>
    <row r="14" spans="1:6" x14ac:dyDescent="0.2">
      <c r="A14" s="9" t="s">
        <v>17</v>
      </c>
      <c r="B14" s="9"/>
      <c r="C14" s="10" t="str">
        <f>"R"&amp;C9</f>
        <v>R21</v>
      </c>
      <c r="D14" s="10" t="str">
        <f>"S"&amp;D9</f>
        <v>S21</v>
      </c>
      <c r="E14" s="9" t="s">
        <v>18</v>
      </c>
      <c r="F14" s="13">
        <f ca="1">ROUND(2*(F12-$C$15)/$C$16,0)/2+F11</f>
        <v>650</v>
      </c>
    </row>
    <row r="15" spans="1:6" x14ac:dyDescent="0.2">
      <c r="A15" s="14" t="s">
        <v>19</v>
      </c>
      <c r="B15"/>
      <c r="C15" s="15">
        <f ca="1">($C7+C11)+($C8+C12)*INT(MAX($F21:$F3530))</f>
        <v>58437.17389346486</v>
      </c>
      <c r="D15" s="15">
        <f ca="1">($C7+D11)+($C8+D12)*INT(MAX($F21:$F3530))</f>
        <v>58437.530839828018</v>
      </c>
      <c r="E15" s="9" t="s">
        <v>20</v>
      </c>
      <c r="F15" s="16">
        <f ca="1">+$C$15+$C$16*F14-15018.5-$C$5/24</f>
        <v>45349.992782051209</v>
      </c>
    </row>
    <row r="16" spans="1:6" x14ac:dyDescent="0.2">
      <c r="A16" s="14" t="s">
        <v>21</v>
      </c>
      <c r="B16"/>
      <c r="C16" s="15">
        <f ca="1">+$C8+C12</f>
        <v>2.9706508542354073</v>
      </c>
      <c r="D16" s="12">
        <f ca="1">+$C8+D12</f>
        <v>2.9706911835167982</v>
      </c>
      <c r="E16" s="17"/>
      <c r="F16" s="17" t="s">
        <v>22</v>
      </c>
    </row>
    <row r="17" spans="1:19" x14ac:dyDescent="0.2">
      <c r="A17" s="8" t="s">
        <v>23</v>
      </c>
      <c r="C17" s="1">
        <f>COUNT(C21:C1244)</f>
        <v>25</v>
      </c>
    </row>
    <row r="18" spans="1:19" x14ac:dyDescent="0.2">
      <c r="A18" s="5" t="s">
        <v>24</v>
      </c>
      <c r="C18" s="18">
        <f ca="1">+C15</f>
        <v>58437.17389346486</v>
      </c>
      <c r="D18" s="19">
        <f ca="1">+C16</f>
        <v>2.9706508542354073</v>
      </c>
      <c r="E18" s="20">
        <f>R19</f>
        <v>15</v>
      </c>
    </row>
    <row r="19" spans="1:19" x14ac:dyDescent="0.2">
      <c r="A19" s="5" t="s">
        <v>25</v>
      </c>
      <c r="C19" s="21">
        <v>55980.440699999999</v>
      </c>
      <c r="D19" s="22">
        <v>2.9706476986285559</v>
      </c>
      <c r="E19" s="20">
        <f>S19</f>
        <v>10</v>
      </c>
      <c r="R19" s="1">
        <f>COUNT(R21:R319)</f>
        <v>15</v>
      </c>
      <c r="S19" s="1">
        <f>COUNT(S21:S319)</f>
        <v>10</v>
      </c>
    </row>
    <row r="20" spans="1:19" x14ac:dyDescent="0.2">
      <c r="A20" s="11" t="s">
        <v>26</v>
      </c>
      <c r="B20" s="11" t="s">
        <v>27</v>
      </c>
      <c r="C20" s="11" t="s">
        <v>28</v>
      </c>
      <c r="D20" s="11" t="s">
        <v>29</v>
      </c>
      <c r="E20" s="11" t="s">
        <v>30</v>
      </c>
      <c r="F20" s="11" t="s">
        <v>31</v>
      </c>
      <c r="G20" s="11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1" t="s">
        <v>42</v>
      </c>
      <c r="R20" s="24" t="s">
        <v>9</v>
      </c>
      <c r="S20" s="24" t="s">
        <v>10</v>
      </c>
    </row>
    <row r="21" spans="1:19" x14ac:dyDescent="0.2">
      <c r="A21" s="32" t="s">
        <v>50</v>
      </c>
      <c r="B21" s="33" t="s">
        <v>49</v>
      </c>
      <c r="C21" s="34">
        <v>29308.381000000001</v>
      </c>
      <c r="D21" s="35"/>
      <c r="E21" s="1">
        <f>+(C21-C$7)/C$8</f>
        <v>-8043.6101605109752</v>
      </c>
      <c r="F21" s="1">
        <f>ROUND(2*E21,0)/2</f>
        <v>-8043.5</v>
      </c>
      <c r="G21" s="1">
        <f>+C21-(C$7+F21*C$8)</f>
        <v>-0.32724700000107987</v>
      </c>
      <c r="K21" s="1">
        <f>+G21</f>
        <v>-0.32724700000107987</v>
      </c>
      <c r="O21" s="1">
        <f ca="1">+C$11+C$12*$F21</f>
        <v>-0.25130474042626127</v>
      </c>
      <c r="P21" s="1">
        <f ca="1">+D$11+D$12*$F21</f>
        <v>-0.28980714594994555</v>
      </c>
      <c r="Q21" s="26">
        <f>+C21-15018.5</f>
        <v>14289.881000000001</v>
      </c>
      <c r="R21" s="1">
        <f>G21</f>
        <v>-0.32724700000107987</v>
      </c>
    </row>
    <row r="22" spans="1:19" x14ac:dyDescent="0.2">
      <c r="A22" s="36" t="s">
        <v>50</v>
      </c>
      <c r="B22" s="37" t="s">
        <v>46</v>
      </c>
      <c r="C22" s="38">
        <v>30076.376</v>
      </c>
      <c r="D22" s="25"/>
      <c r="E22" s="1">
        <f>+(C22-C$7)/C$8</f>
        <v>-7785.0815212085763</v>
      </c>
      <c r="F22" s="1">
        <f>ROUND(2*E22,0)/2</f>
        <v>-7785</v>
      </c>
      <c r="G22" s="1">
        <f>+C22-(C$7+F22*C$8)</f>
        <v>-0.24217000000135158</v>
      </c>
      <c r="K22" s="1">
        <f>+G22</f>
        <v>-0.24217000000135158</v>
      </c>
      <c r="O22" s="1">
        <f ca="1">+C$11+C$12*$F22</f>
        <v>-0.24798192057353546</v>
      </c>
      <c r="P22" s="1">
        <f ca="1">+D$11+D$12*$F22</f>
        <v>-0.2760592068576086</v>
      </c>
      <c r="Q22" s="26">
        <f>+C22-15018.5</f>
        <v>15057.876</v>
      </c>
      <c r="R22" s="1">
        <f>G22</f>
        <v>-0.24217000000135158</v>
      </c>
    </row>
    <row r="23" spans="1:19" x14ac:dyDescent="0.2">
      <c r="A23" s="32" t="s">
        <v>50</v>
      </c>
      <c r="B23" s="33" t="s">
        <v>46</v>
      </c>
      <c r="C23" s="38">
        <v>30085.34</v>
      </c>
      <c r="D23" s="39"/>
      <c r="E23" s="1">
        <f>+(C23-C$7)/C$8</f>
        <v>-7782.0639876013174</v>
      </c>
      <c r="F23" s="1">
        <f>ROUND(2*E23,0)/2</f>
        <v>-7782</v>
      </c>
      <c r="G23" s="1">
        <f>+C23-(C$7+F23*C$8)</f>
        <v>-0.19008400000166148</v>
      </c>
      <c r="K23" s="1">
        <f>+G23</f>
        <v>-0.19008400000166148</v>
      </c>
      <c r="O23" s="1">
        <f ca="1">+C$11+C$12*$F23</f>
        <v>-0.24794335786731425</v>
      </c>
      <c r="P23" s="1">
        <f ca="1">+D$11+D$12*$F23</f>
        <v>-0.27589965630721397</v>
      </c>
      <c r="Q23" s="26">
        <f>+C23-15018.5</f>
        <v>15066.84</v>
      </c>
      <c r="R23" s="1">
        <f>G23</f>
        <v>-0.19008400000166148</v>
      </c>
    </row>
    <row r="24" spans="1:19" x14ac:dyDescent="0.2">
      <c r="A24" s="32" t="s">
        <v>50</v>
      </c>
      <c r="B24" s="33" t="s">
        <v>46</v>
      </c>
      <c r="C24" s="38">
        <v>30382.420999999998</v>
      </c>
      <c r="D24" s="39"/>
      <c r="E24" s="1">
        <f>+(C24-C$7)/C$8</f>
        <v>-7682.0581975993045</v>
      </c>
      <c r="F24" s="1">
        <f>ROUND(2*E24,0)/2</f>
        <v>-7682</v>
      </c>
      <c r="G24" s="1">
        <f>+C24-(C$7+F24*C$8)</f>
        <v>-0.17288400000325055</v>
      </c>
      <c r="K24" s="1">
        <f>+G24</f>
        <v>-0.17288400000325055</v>
      </c>
      <c r="O24" s="1">
        <f ca="1">+C$11+C$12*$F24</f>
        <v>-0.24665793432660793</v>
      </c>
      <c r="P24" s="1">
        <f ca="1">+D$11+D$12*$F24</f>
        <v>-0.2705813046273931</v>
      </c>
      <c r="Q24" s="26">
        <f>+C24-15018.5</f>
        <v>15363.920999999998</v>
      </c>
      <c r="R24" s="1">
        <f>G24</f>
        <v>-0.17288400000325055</v>
      </c>
    </row>
    <row r="25" spans="1:19" x14ac:dyDescent="0.2">
      <c r="A25" s="32" t="s">
        <v>50</v>
      </c>
      <c r="B25" s="37" t="s">
        <v>49</v>
      </c>
      <c r="C25" s="38">
        <v>30431.313999999998</v>
      </c>
      <c r="D25" s="25"/>
      <c r="E25" s="1">
        <f>+(C25-C$7)/C$8</f>
        <v>-7665.5994436212031</v>
      </c>
      <c r="F25" s="1">
        <f>ROUND(2*E25,0)/2</f>
        <v>-7665.5</v>
      </c>
      <c r="G25" s="1">
        <f>+C25-(C$7+F25*C$8)</f>
        <v>-0.29541100000278675</v>
      </c>
      <c r="K25" s="1">
        <f>+G25</f>
        <v>-0.29541100000278675</v>
      </c>
      <c r="O25" s="1">
        <f ca="1">+C$11+C$12*$F25</f>
        <v>-0.2464458394423914</v>
      </c>
      <c r="P25" s="1">
        <f ca="1">+D$11+D$12*$F25</f>
        <v>-0.26970377660022266</v>
      </c>
      <c r="Q25" s="26">
        <f>+C25-15018.5</f>
        <v>15412.813999999998</v>
      </c>
      <c r="S25" s="1">
        <f>G25</f>
        <v>-0.29541100000278675</v>
      </c>
    </row>
    <row r="26" spans="1:19" x14ac:dyDescent="0.2">
      <c r="A26" s="32" t="s">
        <v>50</v>
      </c>
      <c r="B26" s="37" t="s">
        <v>46</v>
      </c>
      <c r="C26" s="38">
        <v>33008.324999999997</v>
      </c>
      <c r="D26" s="25"/>
      <c r="E26" s="1">
        <f>+(C26-C$7)/C$8</f>
        <v>-6798.1053228296432</v>
      </c>
      <c r="F26" s="1">
        <f>ROUND(2*E26,0)/2</f>
        <v>-6798</v>
      </c>
      <c r="G26" s="1">
        <f>+C26-(C$7+F26*C$8)</f>
        <v>-0.31287600001087412</v>
      </c>
      <c r="K26" s="1">
        <f>+G26</f>
        <v>-0.31287600001087412</v>
      </c>
      <c r="O26" s="1">
        <f ca="1">+C$11+C$12*$F26</f>
        <v>-0.23529479022676411</v>
      </c>
      <c r="P26" s="1">
        <f ca="1">+D$11+D$12*$F26</f>
        <v>-0.22356707577777668</v>
      </c>
      <c r="Q26" s="26">
        <f>+C26-15018.5</f>
        <v>17989.824999999997</v>
      </c>
      <c r="R26" s="1">
        <f>G26</f>
        <v>-0.31287600001087412</v>
      </c>
    </row>
    <row r="27" spans="1:19" x14ac:dyDescent="0.2">
      <c r="A27" s="8" t="s">
        <v>43</v>
      </c>
      <c r="C27" s="25">
        <v>33008.411</v>
      </c>
      <c r="D27" s="25" t="s">
        <v>44</v>
      </c>
      <c r="E27" s="1">
        <f>+(C27-C$7)/C$8</f>
        <v>-6798.076372819577</v>
      </c>
      <c r="F27" s="1">
        <f>ROUND(2*E27,0)/2</f>
        <v>-6798</v>
      </c>
      <c r="G27" s="1">
        <f>+C27-(C$7+F27*C$8)</f>
        <v>-0.22687600000790553</v>
      </c>
      <c r="H27" s="1">
        <f>+G27</f>
        <v>-0.22687600000790553</v>
      </c>
      <c r="O27" s="1">
        <f ca="1">+C$11+C$12*$F27</f>
        <v>-0.23529479022676411</v>
      </c>
      <c r="P27" s="1">
        <f ca="1">+D$11+D$12*$F27</f>
        <v>-0.22356707577777668</v>
      </c>
      <c r="Q27" s="26">
        <f>+C27-15018.5</f>
        <v>17989.911</v>
      </c>
      <c r="R27" s="1">
        <f>G27</f>
        <v>-0.22687600000790553</v>
      </c>
    </row>
    <row r="28" spans="1:19" x14ac:dyDescent="0.2">
      <c r="A28" s="32" t="s">
        <v>50</v>
      </c>
      <c r="B28" s="37" t="s">
        <v>46</v>
      </c>
      <c r="C28" s="38">
        <v>33023.349000000002</v>
      </c>
      <c r="D28" s="25"/>
      <c r="E28" s="1">
        <f>+(C28-C$7)/C$8</f>
        <v>-6793.0478233968597</v>
      </c>
      <c r="F28" s="1">
        <f>ROUND(2*E28,0)/2</f>
        <v>-6793</v>
      </c>
      <c r="G28" s="1">
        <f>+C28-(C$7+F28*C$8)</f>
        <v>-0.14206600000034086</v>
      </c>
      <c r="K28" s="1">
        <f>+G28</f>
        <v>-0.14206600000034086</v>
      </c>
      <c r="O28" s="1">
        <f ca="1">+C$11+C$12*$F28</f>
        <v>-0.2352305190497288</v>
      </c>
      <c r="P28" s="1">
        <f ca="1">+D$11+D$12*$F28</f>
        <v>-0.2233011581937856</v>
      </c>
      <c r="Q28" s="26">
        <f>+C28-15018.5</f>
        <v>18004.849000000002</v>
      </c>
      <c r="R28" s="1">
        <f>G28</f>
        <v>-0.14206600000034086</v>
      </c>
    </row>
    <row r="29" spans="1:19" x14ac:dyDescent="0.2">
      <c r="A29" s="38" t="s">
        <v>50</v>
      </c>
      <c r="B29" s="37" t="s">
        <v>46</v>
      </c>
      <c r="C29" s="38">
        <v>33709.385999999999</v>
      </c>
      <c r="E29" s="1">
        <f>+(C29-C$7)/C$8</f>
        <v>-6562.1085436865769</v>
      </c>
      <c r="F29" s="1">
        <f>ROUND(2*E29,0)/2</f>
        <v>-6562</v>
      </c>
      <c r="G29" s="1">
        <f>+C29-(C$7+F29*C$8)</f>
        <v>-0.32244400000490714</v>
      </c>
      <c r="K29" s="1">
        <f>+G29</f>
        <v>-0.32244400000490714</v>
      </c>
      <c r="O29" s="1">
        <f ca="1">+C$11+C$12*$F29</f>
        <v>-0.23226119067069723</v>
      </c>
      <c r="P29" s="1">
        <f ca="1">+D$11+D$12*$F29</f>
        <v>-0.21101576581339943</v>
      </c>
      <c r="Q29" s="26">
        <f>+C29-15018.5</f>
        <v>18690.885999999999</v>
      </c>
      <c r="R29" s="1">
        <f>G29</f>
        <v>-0.32244400000490714</v>
      </c>
    </row>
    <row r="30" spans="1:19" x14ac:dyDescent="0.2">
      <c r="A30" s="38" t="s">
        <v>50</v>
      </c>
      <c r="B30" s="37" t="s">
        <v>49</v>
      </c>
      <c r="C30" s="38">
        <v>34085.290999999997</v>
      </c>
      <c r="E30" s="1">
        <f>+(C30-C$7)/C$8</f>
        <v>-6435.5683863197082</v>
      </c>
      <c r="F30" s="1">
        <f>ROUND(2*E30,0)/2</f>
        <v>-6435.5</v>
      </c>
      <c r="G30" s="1">
        <f>+C30-(C$7+F30*C$8)</f>
        <v>-0.20315100000880193</v>
      </c>
      <c r="K30" s="1">
        <f>+G30</f>
        <v>-0.20315100000880193</v>
      </c>
      <c r="O30" s="1">
        <f ca="1">+C$11+C$12*$F30</f>
        <v>-0.23063512989170371</v>
      </c>
      <c r="P30" s="1">
        <f ca="1">+D$11+D$12*$F30</f>
        <v>-0.204288050938426</v>
      </c>
      <c r="Q30" s="26">
        <f>+C30-15018.5</f>
        <v>19066.790999999997</v>
      </c>
      <c r="S30" s="1">
        <f>G30</f>
        <v>-0.20315100000880193</v>
      </c>
    </row>
    <row r="31" spans="1:19" x14ac:dyDescent="0.2">
      <c r="A31" s="38" t="s">
        <v>50</v>
      </c>
      <c r="B31" s="37" t="s">
        <v>49</v>
      </c>
      <c r="C31" s="38">
        <v>34664.572999999997</v>
      </c>
      <c r="E31" s="1">
        <f>+(C31-C$7)/C$8</f>
        <v>-6240.5658313130061</v>
      </c>
      <c r="F31" s="1">
        <f>ROUND(2*E31,0)/2</f>
        <v>-6240.5</v>
      </c>
      <c r="G31" s="1">
        <f>+C31-(C$7+F31*C$8)</f>
        <v>-0.19556100000772858</v>
      </c>
      <c r="K31" s="1">
        <f>+G31</f>
        <v>-0.19556100000772858</v>
      </c>
      <c r="O31" s="1">
        <f ca="1">+C$11+C$12*$F31</f>
        <v>-0.2281285539873264</v>
      </c>
      <c r="P31" s="1">
        <f ca="1">+D$11+D$12*$F31</f>
        <v>-0.19391726516277535</v>
      </c>
      <c r="Q31" s="26">
        <f>+C31-15018.5</f>
        <v>19646.072999999997</v>
      </c>
      <c r="S31" s="1">
        <f>G31</f>
        <v>-0.19556100000772858</v>
      </c>
    </row>
    <row r="32" spans="1:19" x14ac:dyDescent="0.2">
      <c r="A32" s="38" t="s">
        <v>50</v>
      </c>
      <c r="B32" s="37" t="s">
        <v>49</v>
      </c>
      <c r="C32" s="38">
        <v>34780.472000000002</v>
      </c>
      <c r="E32" s="1">
        <f>+(C32-C$7)/C$8</f>
        <v>-6201.5509799578413</v>
      </c>
      <c r="F32" s="1">
        <f>ROUND(2*E32,0)/2</f>
        <v>-6201.5</v>
      </c>
      <c r="G32" s="1">
        <f>+C32-(C$7+F32*C$8)</f>
        <v>-0.15144300000247313</v>
      </c>
      <c r="K32" s="1">
        <f>+G32</f>
        <v>-0.15144300000247313</v>
      </c>
      <c r="O32" s="1">
        <f ca="1">+C$11+C$12*$F32</f>
        <v>-0.22762723880645094</v>
      </c>
      <c r="P32" s="1">
        <f ca="1">+D$11+D$12*$F32</f>
        <v>-0.1918431080076452</v>
      </c>
      <c r="Q32" s="26">
        <f>+C32-15018.5</f>
        <v>19761.972000000002</v>
      </c>
      <c r="S32" s="1">
        <f>G32</f>
        <v>-0.15144300000247313</v>
      </c>
    </row>
    <row r="33" spans="1:19" x14ac:dyDescent="0.2">
      <c r="A33" s="38" t="s">
        <v>50</v>
      </c>
      <c r="B33" s="37" t="s">
        <v>49</v>
      </c>
      <c r="C33" s="38">
        <v>34795.275000000001</v>
      </c>
      <c r="E33" s="1">
        <f>+(C33-C$7)/C$8</f>
        <v>-6196.5678753183665</v>
      </c>
      <c r="F33" s="1">
        <f>ROUND(2*E33,0)/2</f>
        <v>-6196.5</v>
      </c>
      <c r="G33" s="1">
        <f>+C33-(C$7+F33*C$8)</f>
        <v>-0.20163299999694573</v>
      </c>
      <c r="K33" s="1">
        <f>+G33</f>
        <v>-0.20163299999694573</v>
      </c>
      <c r="O33" s="1">
        <f ca="1">+C$11+C$12*$F33</f>
        <v>-0.22756296762941564</v>
      </c>
      <c r="P33" s="1">
        <f ca="1">+D$11+D$12*$F33</f>
        <v>-0.19157719042365418</v>
      </c>
      <c r="Q33" s="26">
        <f>+C33-15018.5</f>
        <v>19776.775000000001</v>
      </c>
      <c r="S33" s="1">
        <f>G33</f>
        <v>-0.20163299999694573</v>
      </c>
    </row>
    <row r="34" spans="1:19" x14ac:dyDescent="0.2">
      <c r="A34" s="38" t="s">
        <v>50</v>
      </c>
      <c r="B34" s="37" t="s">
        <v>46</v>
      </c>
      <c r="C34" s="38">
        <v>35129.446000000004</v>
      </c>
      <c r="E34" s="1">
        <f>+(C34-C$7)/C$8</f>
        <v>-6084.0765519056849</v>
      </c>
      <c r="F34" s="1">
        <f>ROUND(2*E34,0)/2</f>
        <v>-6084</v>
      </c>
      <c r="G34" s="1">
        <f>+C34-(C$7+F34*C$8)</f>
        <v>-0.22740799999883166</v>
      </c>
      <c r="K34" s="1">
        <f>+G34</f>
        <v>-0.22740799999883166</v>
      </c>
      <c r="O34" s="1">
        <f ca="1">+C$11+C$12*$F34</f>
        <v>-0.22611686614612103</v>
      </c>
      <c r="P34" s="1">
        <f ca="1">+D$11+D$12*$F34</f>
        <v>-0.18559404478385566</v>
      </c>
      <c r="Q34" s="26">
        <f>+C34-15018.5</f>
        <v>20110.946000000004</v>
      </c>
      <c r="R34" s="1">
        <f>G34</f>
        <v>-0.22740799999883166</v>
      </c>
    </row>
    <row r="35" spans="1:19" x14ac:dyDescent="0.2">
      <c r="A35" s="38" t="s">
        <v>50</v>
      </c>
      <c r="B35" s="37" t="s">
        <v>46</v>
      </c>
      <c r="C35" s="38">
        <v>36252.366000000002</v>
      </c>
      <c r="E35" s="1">
        <f>+(C35-C$7)/C$8</f>
        <v>-5706.0702111802248</v>
      </c>
      <c r="F35" s="1">
        <f>ROUND(2*E35,0)/2</f>
        <v>-5706</v>
      </c>
      <c r="G35" s="1">
        <f>+C35-(C$7+F35*C$8)</f>
        <v>-0.20857199999591103</v>
      </c>
      <c r="K35" s="1">
        <f>+G35</f>
        <v>-0.20857199999591103</v>
      </c>
      <c r="O35" s="1">
        <f ca="1">+C$11+C$12*$F35</f>
        <v>-0.22125796516225116</v>
      </c>
      <c r="P35" s="1">
        <f ca="1">+D$11+D$12*$F35</f>
        <v>-0.16549067543413282</v>
      </c>
      <c r="Q35" s="26">
        <f>+C35-15018.5</f>
        <v>21233.866000000002</v>
      </c>
      <c r="R35" s="1">
        <f>G35</f>
        <v>-0.20857199999591103</v>
      </c>
    </row>
    <row r="36" spans="1:19" x14ac:dyDescent="0.2">
      <c r="A36" s="8" t="s">
        <v>7</v>
      </c>
      <c r="B36" s="4"/>
      <c r="C36" s="25">
        <v>52501.767999999996</v>
      </c>
      <c r="E36" s="1">
        <f>+(C36-C$7)/C$8</f>
        <v>-236.06612451601544</v>
      </c>
      <c r="F36" s="1">
        <f>ROUND(2*E36,0)/2</f>
        <v>-236</v>
      </c>
      <c r="G36" s="1">
        <f>+C36-(C$7+F36*C$8)</f>
        <v>-0.19643200000427896</v>
      </c>
      <c r="I36" s="1">
        <f>+G36</f>
        <v>-0.19643200000427896</v>
      </c>
      <c r="O36" s="1">
        <f ca="1">+C$11+C$12*$F36</f>
        <v>-0.15094529748561572</v>
      </c>
      <c r="P36" s="1">
        <f ca="1">+D$11+D$12*$F36</f>
        <v>0.12542316145206855</v>
      </c>
      <c r="Q36" s="26">
        <f>+C36-15018.5</f>
        <v>37483.267999999996</v>
      </c>
      <c r="R36" s="1">
        <f>G36</f>
        <v>-0.19643200000427896</v>
      </c>
    </row>
    <row r="37" spans="1:19" x14ac:dyDescent="0.2">
      <c r="A37" s="27" t="s">
        <v>45</v>
      </c>
      <c r="B37" s="28" t="s">
        <v>46</v>
      </c>
      <c r="C37" s="27">
        <v>54866.443200000002</v>
      </c>
      <c r="D37" s="27">
        <v>1.1999999999999999E-3</v>
      </c>
      <c r="E37" s="1">
        <f>+(C37-C$7)/C$8</f>
        <v>559.94981549417935</v>
      </c>
      <c r="F37" s="1">
        <f>ROUND(2*E37,0)/2</f>
        <v>560</v>
      </c>
      <c r="G37" s="1">
        <f>+C37-(C$7+F37*C$8)</f>
        <v>-0.14908000000286847</v>
      </c>
      <c r="J37" s="1">
        <f>+G37</f>
        <v>-0.14908000000286847</v>
      </c>
      <c r="O37" s="1">
        <f ca="1">+C$11+C$12*$F37</f>
        <v>-0.14071332610159346</v>
      </c>
      <c r="P37" s="1">
        <f ca="1">+D$11+D$12*$F37</f>
        <v>0.16775724082344265</v>
      </c>
      <c r="Q37" s="26">
        <f>+C37-15018.5</f>
        <v>39847.943200000002</v>
      </c>
      <c r="R37" s="1">
        <f>G37</f>
        <v>-0.14908000000286847</v>
      </c>
    </row>
    <row r="38" spans="1:19" x14ac:dyDescent="0.2">
      <c r="A38" s="29" t="s">
        <v>47</v>
      </c>
      <c r="B38" s="30" t="s">
        <v>46</v>
      </c>
      <c r="C38" s="31">
        <v>55980.440699999999</v>
      </c>
      <c r="D38" s="31">
        <v>6.4000000000000003E-3</v>
      </c>
      <c r="E38" s="1">
        <f>+(C38-C$7)/C$8</f>
        <v>934.95259267537665</v>
      </c>
      <c r="F38" s="1">
        <f>ROUND(2*E38,0)/2</f>
        <v>935</v>
      </c>
      <c r="G38" s="1">
        <f>+C38-(C$7+F38*C$8)</f>
        <v>-0.14083000000391621</v>
      </c>
      <c r="J38" s="1">
        <f>+G38</f>
        <v>-0.14083000000391621</v>
      </c>
      <c r="O38" s="1">
        <f ca="1">+C$11+C$12*$F38</f>
        <v>-0.13589298782394477</v>
      </c>
      <c r="P38" s="1">
        <f ca="1">+D$11+D$12*$F38</f>
        <v>0.18770105962277089</v>
      </c>
      <c r="Q38" s="26">
        <f>+C38-15018.5</f>
        <v>40961.940699999999</v>
      </c>
      <c r="R38" s="1">
        <f>G38</f>
        <v>-0.14083000000391621</v>
      </c>
    </row>
    <row r="39" spans="1:19" x14ac:dyDescent="0.2">
      <c r="A39" s="29" t="s">
        <v>48</v>
      </c>
      <c r="B39" s="30" t="s">
        <v>49</v>
      </c>
      <c r="C39" s="31">
        <v>56341.707410000003</v>
      </c>
      <c r="D39" s="31">
        <v>2.0000000000000001E-4</v>
      </c>
      <c r="E39" s="1">
        <f>+(C39-C$7)/C$8</f>
        <v>1056.5650914046071</v>
      </c>
      <c r="F39" s="1">
        <f>ROUND(2*E39,0)/2</f>
        <v>1056.5</v>
      </c>
      <c r="G39" s="1">
        <f>+C39-(C$7+F39*C$8)</f>
        <v>0.19336299999849871</v>
      </c>
      <c r="K39" s="1">
        <f>+G39</f>
        <v>0.19336299999849871</v>
      </c>
      <c r="O39" s="1">
        <f ca="1">+C$11+C$12*$F39</f>
        <v>-0.13433119822198658</v>
      </c>
      <c r="P39" s="1">
        <f ca="1">+D$11+D$12*$F39</f>
        <v>0.19416285691375326</v>
      </c>
      <c r="Q39" s="26">
        <f>+C39-15018.5</f>
        <v>41323.207410000003</v>
      </c>
      <c r="S39" s="1">
        <f>G39</f>
        <v>0.19336299999849871</v>
      </c>
    </row>
    <row r="40" spans="1:19" x14ac:dyDescent="0.2">
      <c r="A40" s="29" t="s">
        <v>48</v>
      </c>
      <c r="B40" s="30" t="s">
        <v>49</v>
      </c>
      <c r="C40" s="31">
        <v>56341.711750000002</v>
      </c>
      <c r="D40" s="31">
        <v>2.2000000000000001E-4</v>
      </c>
      <c r="E40" s="1">
        <f>+(C40-C$7)/C$8</f>
        <v>1056.5665523702312</v>
      </c>
      <c r="F40" s="1">
        <f>ROUND(2*E40,0)/2</f>
        <v>1056.5</v>
      </c>
      <c r="G40" s="1">
        <f>+C40-(C$7+F40*C$8)</f>
        <v>0.19770299999800045</v>
      </c>
      <c r="K40" s="1">
        <f>+G40</f>
        <v>0.19770299999800045</v>
      </c>
      <c r="O40" s="1">
        <f ca="1">+C$11+C$12*$F40</f>
        <v>-0.13433119822198658</v>
      </c>
      <c r="P40" s="1">
        <f ca="1">+D$11+D$12*$F40</f>
        <v>0.19416285691375326</v>
      </c>
      <c r="Q40" s="26">
        <f>+C40-15018.5</f>
        <v>41323.211750000002</v>
      </c>
      <c r="S40" s="1">
        <f>G40</f>
        <v>0.19770299999800045</v>
      </c>
    </row>
    <row r="41" spans="1:19" x14ac:dyDescent="0.2">
      <c r="A41" s="29" t="s">
        <v>48</v>
      </c>
      <c r="B41" s="30" t="s">
        <v>49</v>
      </c>
      <c r="C41" s="31">
        <v>56341.711929999998</v>
      </c>
      <c r="D41" s="31">
        <v>1.8000000000000001E-4</v>
      </c>
      <c r="E41" s="1">
        <f>+(C41-C$7)/C$8</f>
        <v>1056.5666129632739</v>
      </c>
      <c r="F41" s="1">
        <f>ROUND(2*E41,0)/2</f>
        <v>1056.5</v>
      </c>
      <c r="G41" s="1">
        <f>+C41-(C$7+F41*C$8)</f>
        <v>0.19788299999345327</v>
      </c>
      <c r="K41" s="1">
        <f>+G41</f>
        <v>0.19788299999345327</v>
      </c>
      <c r="O41" s="1">
        <f ca="1">+C$11+C$12*$F41</f>
        <v>-0.13433119822198658</v>
      </c>
      <c r="P41" s="1">
        <f ca="1">+D$11+D$12*$F41</f>
        <v>0.19416285691375326</v>
      </c>
      <c r="Q41" s="26">
        <f>+C41-15018.5</f>
        <v>41323.211929999998</v>
      </c>
      <c r="S41" s="1">
        <f>G41</f>
        <v>0.19788299999345327</v>
      </c>
    </row>
    <row r="42" spans="1:19" x14ac:dyDescent="0.2">
      <c r="A42" s="29" t="s">
        <v>48</v>
      </c>
      <c r="B42" s="30" t="s">
        <v>49</v>
      </c>
      <c r="C42" s="31">
        <v>56341.712699999996</v>
      </c>
      <c r="D42" s="31">
        <v>2.4000000000000001E-4</v>
      </c>
      <c r="E42" s="1">
        <f>+(C42-C$7)/C$8</f>
        <v>1056.5668721668519</v>
      </c>
      <c r="F42" s="1">
        <f>ROUND(2*E42,0)/2</f>
        <v>1056.5</v>
      </c>
      <c r="G42" s="1">
        <f>+C42-(C$7+F42*C$8)</f>
        <v>0.19865299999219133</v>
      </c>
      <c r="K42" s="1">
        <f>+G42</f>
        <v>0.19865299999219133</v>
      </c>
      <c r="O42" s="1">
        <f ca="1">+C$11+C$12*$F42</f>
        <v>-0.13433119822198658</v>
      </c>
      <c r="P42" s="1">
        <f ca="1">+D$11+D$12*$F42</f>
        <v>0.19416285691375326</v>
      </c>
      <c r="Q42" s="26">
        <f>+C42-15018.5</f>
        <v>41323.212699999996</v>
      </c>
      <c r="S42" s="1">
        <f>G42</f>
        <v>0.19865299999219133</v>
      </c>
    </row>
    <row r="43" spans="1:19" x14ac:dyDescent="0.2">
      <c r="A43" s="43" t="s">
        <v>53</v>
      </c>
      <c r="B43" s="44" t="s">
        <v>49</v>
      </c>
      <c r="C43" s="45">
        <v>57800.302500000224</v>
      </c>
      <c r="D43" s="45">
        <v>2.9999999999999997E-4</v>
      </c>
      <c r="E43" s="1">
        <f>+(C43-C$7)/C$8</f>
        <v>1547.5690743874616</v>
      </c>
      <c r="F43" s="1">
        <f>ROUND(2*E43,0)/2</f>
        <v>1547.5</v>
      </c>
      <c r="G43" s="1">
        <f>+C43-(C$7+F43*C$8)</f>
        <v>0.20519500022055581</v>
      </c>
      <c r="K43" s="1">
        <f>+G43</f>
        <v>0.20519500022055581</v>
      </c>
      <c r="O43" s="1">
        <f ca="1">+C$11+C$12*$F43</f>
        <v>-0.12801976863711859</v>
      </c>
      <c r="P43" s="1">
        <f ca="1">+D$11+D$12*$F43</f>
        <v>0.22027596366167371</v>
      </c>
      <c r="Q43" s="26">
        <f>+C43-15018.5</f>
        <v>42781.802500000224</v>
      </c>
      <c r="S43" s="1">
        <f>G43</f>
        <v>0.20519500022055581</v>
      </c>
    </row>
    <row r="44" spans="1:19" x14ac:dyDescent="0.2">
      <c r="A44" s="40" t="s">
        <v>51</v>
      </c>
      <c r="B44" s="41" t="s">
        <v>46</v>
      </c>
      <c r="C44" s="42">
        <v>57810.3966</v>
      </c>
      <c r="D44" s="42">
        <v>1.9E-3</v>
      </c>
      <c r="E44" s="1">
        <f>+(C44-C$7)/C$8</f>
        <v>1550.9670313245829</v>
      </c>
      <c r="F44" s="1">
        <f>ROUND(2*E44,0)/2</f>
        <v>1551</v>
      </c>
      <c r="G44" s="1">
        <f>+C44-(C$7+F44*C$8)</f>
        <v>-9.7938000006251968E-2</v>
      </c>
      <c r="K44" s="1">
        <f>+G44</f>
        <v>-9.7938000006251968E-2</v>
      </c>
      <c r="O44" s="1">
        <f ca="1">+C$11+C$12*$F44</f>
        <v>-0.12797477881319386</v>
      </c>
      <c r="P44" s="1">
        <f ca="1">+D$11+D$12*$F44</f>
        <v>0.22046210597046745</v>
      </c>
      <c r="Q44" s="26">
        <f>+C44-15018.5</f>
        <v>42791.8966</v>
      </c>
      <c r="R44" s="1">
        <f>G44</f>
        <v>-9.7938000006251968E-2</v>
      </c>
    </row>
    <row r="45" spans="1:19" x14ac:dyDescent="0.2">
      <c r="A45" s="43" t="s">
        <v>52</v>
      </c>
      <c r="B45" s="44" t="s">
        <v>46</v>
      </c>
      <c r="C45" s="45">
        <v>58437.195930000002</v>
      </c>
      <c r="D45" s="45">
        <v>3.3700000000000002E-3</v>
      </c>
      <c r="E45" s="1">
        <f>+(C45-C$7)/C$8</f>
        <v>1761.9652512355924</v>
      </c>
      <c r="F45" s="1">
        <f>ROUND(2*E45,0)/2</f>
        <v>1762</v>
      </c>
      <c r="G45" s="1">
        <f>+C45-(C$7+F45*C$8)</f>
        <v>-0.10322599999926751</v>
      </c>
      <c r="K45" s="1">
        <f>+G45</f>
        <v>-0.10322599999926751</v>
      </c>
      <c r="O45" s="1">
        <f ca="1">+C$11+C$12*$F45</f>
        <v>-0.12526253514230354</v>
      </c>
      <c r="P45" s="1">
        <f ca="1">+D$11+D$12*$F45</f>
        <v>0.23168382801488946</v>
      </c>
      <c r="Q45" s="26">
        <f>+C45-15018.5</f>
        <v>43418.695930000002</v>
      </c>
      <c r="R45" s="1">
        <f>G45</f>
        <v>-0.10322599999926751</v>
      </c>
    </row>
  </sheetData>
  <sheetProtection selectLockedCells="1" selectUnlockedCells="1"/>
  <sortState xmlns:xlrd2="http://schemas.microsoft.com/office/spreadsheetml/2017/richdata2" ref="A21:T45">
    <sortCondition ref="C21:C4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6" workbookViewId="0">
      <selection activeCell="A14" sqref="A14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6" t="s">
        <v>54</v>
      </c>
      <c r="I1" s="47" t="s">
        <v>55</v>
      </c>
      <c r="J1" s="48" t="s">
        <v>36</v>
      </c>
    </row>
    <row r="2" spans="1:16" x14ac:dyDescent="0.2">
      <c r="I2" s="49" t="s">
        <v>56</v>
      </c>
      <c r="J2" s="50" t="s">
        <v>35</v>
      </c>
    </row>
    <row r="3" spans="1:16" x14ac:dyDescent="0.2">
      <c r="A3" s="51" t="s">
        <v>57</v>
      </c>
      <c r="I3" s="49" t="s">
        <v>58</v>
      </c>
      <c r="J3" s="50" t="s">
        <v>33</v>
      </c>
    </row>
    <row r="4" spans="1:16" x14ac:dyDescent="0.2">
      <c r="I4" s="49" t="s">
        <v>59</v>
      </c>
      <c r="J4" s="50" t="s">
        <v>33</v>
      </c>
    </row>
    <row r="5" spans="1:16" x14ac:dyDescent="0.2">
      <c r="I5" s="52" t="s">
        <v>60</v>
      </c>
      <c r="J5" s="53" t="s">
        <v>34</v>
      </c>
    </row>
    <row r="11" spans="1:16" ht="12.75" customHeight="1" x14ac:dyDescent="0.2">
      <c r="A11" s="25" t="str">
        <f t="shared" ref="A11:A30" si="0">P11</f>
        <v>BAVM 209 </v>
      </c>
      <c r="B11" s="4" t="str">
        <f t="shared" ref="B11:B30" si="1">IF(H11=INT(H11),"I","II")</f>
        <v>I</v>
      </c>
      <c r="C11" s="25">
        <f t="shared" ref="C11:C30" si="2">1*G11</f>
        <v>54866.443200000002</v>
      </c>
      <c r="D11" t="str">
        <f t="shared" ref="D11:D30" si="3">VLOOKUP(F11,I$1:J$5,2,FALSE)</f>
        <v>vis</v>
      </c>
      <c r="E11">
        <f>VLOOKUP(C11,'Active 1'!C$21:E$970,3,FALSE)</f>
        <v>559.94981549417935</v>
      </c>
      <c r="F11" s="4" t="s">
        <v>60</v>
      </c>
      <c r="G11" t="str">
        <f t="shared" ref="G11:G30" si="4">MID(I11,3,LEN(I11)-3)</f>
        <v>54866.4432</v>
      </c>
      <c r="H11" s="25">
        <f t="shared" ref="H11:H30" si="5">1*K11</f>
        <v>7358</v>
      </c>
      <c r="I11" s="54" t="s">
        <v>61</v>
      </c>
      <c r="J11" s="55" t="s">
        <v>62</v>
      </c>
      <c r="K11" s="54">
        <v>7358</v>
      </c>
      <c r="L11" s="54" t="s">
        <v>63</v>
      </c>
      <c r="M11" s="55" t="s">
        <v>64</v>
      </c>
      <c r="N11" s="55" t="s">
        <v>65</v>
      </c>
      <c r="O11" s="56" t="s">
        <v>66</v>
      </c>
      <c r="P11" s="57" t="s">
        <v>67</v>
      </c>
    </row>
    <row r="12" spans="1:16" ht="12.75" customHeight="1" x14ac:dyDescent="0.2">
      <c r="A12" s="25" t="str">
        <f t="shared" si="0"/>
        <v>BAVM 228 </v>
      </c>
      <c r="B12" s="4" t="str">
        <f t="shared" si="1"/>
        <v>I</v>
      </c>
      <c r="C12" s="25">
        <f t="shared" si="2"/>
        <v>55980.440699999999</v>
      </c>
      <c r="D12" t="str">
        <f t="shared" si="3"/>
        <v>vis</v>
      </c>
      <c r="E12">
        <f>VLOOKUP(C12,'Active 1'!C$21:E$970,3,FALSE)</f>
        <v>934.95259267537665</v>
      </c>
      <c r="F12" s="4" t="s">
        <v>60</v>
      </c>
      <c r="G12" t="str">
        <f t="shared" si="4"/>
        <v>55980.4407</v>
      </c>
      <c r="H12" s="25">
        <f t="shared" si="5"/>
        <v>7733</v>
      </c>
      <c r="I12" s="54" t="s">
        <v>68</v>
      </c>
      <c r="J12" s="55" t="s">
        <v>69</v>
      </c>
      <c r="K12" s="54" t="s">
        <v>70</v>
      </c>
      <c r="L12" s="54" t="s">
        <v>71</v>
      </c>
      <c r="M12" s="55" t="s">
        <v>64</v>
      </c>
      <c r="N12" s="55" t="s">
        <v>65</v>
      </c>
      <c r="O12" s="56" t="s">
        <v>66</v>
      </c>
      <c r="P12" s="57" t="s">
        <v>72</v>
      </c>
    </row>
    <row r="13" spans="1:16" ht="12.75" customHeight="1" x14ac:dyDescent="0.2">
      <c r="A13" s="25" t="str">
        <f t="shared" si="0"/>
        <v>IBVS 6063 </v>
      </c>
      <c r="B13" s="4" t="str">
        <f t="shared" si="1"/>
        <v>II</v>
      </c>
      <c r="C13" s="25">
        <f t="shared" si="2"/>
        <v>56341.712699999996</v>
      </c>
      <c r="D13" t="str">
        <f t="shared" si="3"/>
        <v>vis</v>
      </c>
      <c r="E13">
        <f>VLOOKUP(C13,'Active 1'!C$21:E$970,3,FALSE)</f>
        <v>1056.5668721668519</v>
      </c>
      <c r="F13" s="4" t="s">
        <v>60</v>
      </c>
      <c r="G13" t="str">
        <f t="shared" si="4"/>
        <v>56341.7127</v>
      </c>
      <c r="H13" s="25">
        <f t="shared" si="5"/>
        <v>7854.5</v>
      </c>
      <c r="I13" s="54" t="s">
        <v>73</v>
      </c>
      <c r="J13" s="55" t="s">
        <v>74</v>
      </c>
      <c r="K13" s="54" t="s">
        <v>75</v>
      </c>
      <c r="L13" s="54" t="s">
        <v>76</v>
      </c>
      <c r="M13" s="55" t="s">
        <v>64</v>
      </c>
      <c r="N13" s="55" t="s">
        <v>77</v>
      </c>
      <c r="O13" s="56" t="s">
        <v>78</v>
      </c>
      <c r="P13" s="57" t="s">
        <v>79</v>
      </c>
    </row>
    <row r="14" spans="1:16" ht="12.75" customHeight="1" x14ac:dyDescent="0.2">
      <c r="A14" s="25" t="str">
        <f t="shared" si="0"/>
        <v> AHSB 7.7.369 </v>
      </c>
      <c r="B14" s="4" t="str">
        <f t="shared" si="1"/>
        <v>II</v>
      </c>
      <c r="C14" s="25">
        <f t="shared" si="2"/>
        <v>29308.381000000001</v>
      </c>
      <c r="D14" t="str">
        <f t="shared" si="3"/>
        <v>vis</v>
      </c>
      <c r="E14">
        <f>VLOOKUP(C14,'Active 1'!C$21:E$970,3,FALSE)</f>
        <v>-8043.6101605109752</v>
      </c>
      <c r="F14" s="4" t="s">
        <v>60</v>
      </c>
      <c r="G14" t="str">
        <f t="shared" si="4"/>
        <v>29308.381</v>
      </c>
      <c r="H14" s="25">
        <f t="shared" si="5"/>
        <v>-1245.5</v>
      </c>
      <c r="I14" s="54" t="s">
        <v>80</v>
      </c>
      <c r="J14" s="55" t="s">
        <v>81</v>
      </c>
      <c r="K14" s="54">
        <v>-1245.5</v>
      </c>
      <c r="L14" s="54" t="s">
        <v>82</v>
      </c>
      <c r="M14" s="55" t="s">
        <v>83</v>
      </c>
      <c r="N14" s="55"/>
      <c r="O14" s="56" t="s">
        <v>84</v>
      </c>
      <c r="P14" s="56" t="s">
        <v>50</v>
      </c>
    </row>
    <row r="15" spans="1:16" ht="12.75" customHeight="1" x14ac:dyDescent="0.2">
      <c r="A15" s="25" t="str">
        <f t="shared" si="0"/>
        <v> AHSB 7.7.369 </v>
      </c>
      <c r="B15" s="4" t="str">
        <f t="shared" si="1"/>
        <v>I</v>
      </c>
      <c r="C15" s="25">
        <f t="shared" si="2"/>
        <v>30076.376</v>
      </c>
      <c r="D15" t="str">
        <f t="shared" si="3"/>
        <v>vis</v>
      </c>
      <c r="E15">
        <f>VLOOKUP(C15,'Active 1'!C$21:E$970,3,FALSE)</f>
        <v>-7785.0815212085763</v>
      </c>
      <c r="F15" s="4" t="s">
        <v>60</v>
      </c>
      <c r="G15" t="str">
        <f t="shared" si="4"/>
        <v>30076.376</v>
      </c>
      <c r="H15" s="25">
        <f t="shared" si="5"/>
        <v>-987</v>
      </c>
      <c r="I15" s="54" t="s">
        <v>85</v>
      </c>
      <c r="J15" s="55" t="s">
        <v>86</v>
      </c>
      <c r="K15" s="54">
        <v>-987</v>
      </c>
      <c r="L15" s="54" t="s">
        <v>87</v>
      </c>
      <c r="M15" s="55" t="s">
        <v>83</v>
      </c>
      <c r="N15" s="55"/>
      <c r="O15" s="56" t="s">
        <v>84</v>
      </c>
      <c r="P15" s="56" t="s">
        <v>50</v>
      </c>
    </row>
    <row r="16" spans="1:16" ht="12.75" customHeight="1" x14ac:dyDescent="0.2">
      <c r="A16" s="25" t="str">
        <f t="shared" si="0"/>
        <v> AHSB 7.7.369 </v>
      </c>
      <c r="B16" s="4" t="str">
        <f t="shared" si="1"/>
        <v>I</v>
      </c>
      <c r="C16" s="25">
        <f t="shared" si="2"/>
        <v>30085.34</v>
      </c>
      <c r="D16" t="str">
        <f t="shared" si="3"/>
        <v>vis</v>
      </c>
      <c r="E16">
        <f>VLOOKUP(C16,'Active 1'!C$21:E$970,3,FALSE)</f>
        <v>-7782.0639876013174</v>
      </c>
      <c r="F16" s="4" t="s">
        <v>60</v>
      </c>
      <c r="G16" t="str">
        <f t="shared" si="4"/>
        <v>30085.340</v>
      </c>
      <c r="H16" s="25">
        <f t="shared" si="5"/>
        <v>-984</v>
      </c>
      <c r="I16" s="54" t="s">
        <v>88</v>
      </c>
      <c r="J16" s="55" t="s">
        <v>89</v>
      </c>
      <c r="K16" s="54">
        <v>-984</v>
      </c>
      <c r="L16" s="54" t="s">
        <v>90</v>
      </c>
      <c r="M16" s="55" t="s">
        <v>83</v>
      </c>
      <c r="N16" s="55"/>
      <c r="O16" s="56" t="s">
        <v>84</v>
      </c>
      <c r="P16" s="56" t="s">
        <v>50</v>
      </c>
    </row>
    <row r="17" spans="1:16" ht="12.75" customHeight="1" x14ac:dyDescent="0.2">
      <c r="A17" s="25" t="str">
        <f t="shared" si="0"/>
        <v> AHSB 7.7.369 </v>
      </c>
      <c r="B17" s="4" t="str">
        <f t="shared" si="1"/>
        <v>I</v>
      </c>
      <c r="C17" s="25">
        <f t="shared" si="2"/>
        <v>30382.420999999998</v>
      </c>
      <c r="D17" t="str">
        <f t="shared" si="3"/>
        <v>vis</v>
      </c>
      <c r="E17">
        <f>VLOOKUP(C17,'Active 1'!C$21:E$970,3,FALSE)</f>
        <v>-7682.0581975993045</v>
      </c>
      <c r="F17" s="4" t="s">
        <v>60</v>
      </c>
      <c r="G17" t="str">
        <f t="shared" si="4"/>
        <v>30382.421</v>
      </c>
      <c r="H17" s="25">
        <f t="shared" si="5"/>
        <v>-884</v>
      </c>
      <c r="I17" s="54" t="s">
        <v>91</v>
      </c>
      <c r="J17" s="55" t="s">
        <v>92</v>
      </c>
      <c r="K17" s="54">
        <v>-884</v>
      </c>
      <c r="L17" s="54" t="s">
        <v>93</v>
      </c>
      <c r="M17" s="55" t="s">
        <v>83</v>
      </c>
      <c r="N17" s="55"/>
      <c r="O17" s="56" t="s">
        <v>84</v>
      </c>
      <c r="P17" s="56" t="s">
        <v>50</v>
      </c>
    </row>
    <row r="18" spans="1:16" ht="12.75" customHeight="1" x14ac:dyDescent="0.2">
      <c r="A18" s="25" t="str">
        <f t="shared" si="0"/>
        <v> AHSB 7.7.369 </v>
      </c>
      <c r="B18" s="4" t="str">
        <f t="shared" si="1"/>
        <v>II</v>
      </c>
      <c r="C18" s="25">
        <f t="shared" si="2"/>
        <v>30431.313999999998</v>
      </c>
      <c r="D18" t="str">
        <f t="shared" si="3"/>
        <v>vis</v>
      </c>
      <c r="E18">
        <f>VLOOKUP(C18,'Active 1'!C$21:E$970,3,FALSE)</f>
        <v>-7665.5994436212031</v>
      </c>
      <c r="F18" s="4" t="s">
        <v>60</v>
      </c>
      <c r="G18" t="str">
        <f t="shared" si="4"/>
        <v>30431.314</v>
      </c>
      <c r="H18" s="25">
        <f t="shared" si="5"/>
        <v>-867.5</v>
      </c>
      <c r="I18" s="54" t="s">
        <v>94</v>
      </c>
      <c r="J18" s="55" t="s">
        <v>95</v>
      </c>
      <c r="K18" s="54">
        <v>-867.5</v>
      </c>
      <c r="L18" s="54" t="s">
        <v>96</v>
      </c>
      <c r="M18" s="55" t="s">
        <v>83</v>
      </c>
      <c r="N18" s="55"/>
      <c r="O18" s="56" t="s">
        <v>84</v>
      </c>
      <c r="P18" s="56" t="s">
        <v>50</v>
      </c>
    </row>
    <row r="19" spans="1:16" ht="12.75" customHeight="1" x14ac:dyDescent="0.2">
      <c r="A19" s="25" t="str">
        <f t="shared" si="0"/>
        <v> AHSB 7.7.369 </v>
      </c>
      <c r="B19" s="4" t="str">
        <f t="shared" si="1"/>
        <v>I</v>
      </c>
      <c r="C19" s="25">
        <f t="shared" si="2"/>
        <v>33008.324999999997</v>
      </c>
      <c r="D19" t="str">
        <f t="shared" si="3"/>
        <v>vis</v>
      </c>
      <c r="E19">
        <f>VLOOKUP(C19,'Active 1'!C$21:E$970,3,FALSE)</f>
        <v>-6798.1053228296432</v>
      </c>
      <c r="F19" s="4" t="s">
        <v>60</v>
      </c>
      <c r="G19" t="str">
        <f t="shared" si="4"/>
        <v>33008.325</v>
      </c>
      <c r="H19" s="25">
        <f t="shared" si="5"/>
        <v>0</v>
      </c>
      <c r="I19" s="54" t="s">
        <v>97</v>
      </c>
      <c r="J19" s="55" t="s">
        <v>98</v>
      </c>
      <c r="K19" s="54">
        <v>0</v>
      </c>
      <c r="L19" s="54" t="s">
        <v>99</v>
      </c>
      <c r="M19" s="55" t="s">
        <v>83</v>
      </c>
      <c r="N19" s="55"/>
      <c r="O19" s="56" t="s">
        <v>84</v>
      </c>
      <c r="P19" s="56" t="s">
        <v>50</v>
      </c>
    </row>
    <row r="20" spans="1:16" ht="12.75" customHeight="1" x14ac:dyDescent="0.2">
      <c r="A20" s="25" t="str">
        <f t="shared" si="0"/>
        <v> AHSB 7.7.369 </v>
      </c>
      <c r="B20" s="4" t="str">
        <f t="shared" si="1"/>
        <v>I</v>
      </c>
      <c r="C20" s="25">
        <f t="shared" si="2"/>
        <v>33023.349000000002</v>
      </c>
      <c r="D20" t="str">
        <f t="shared" si="3"/>
        <v>vis</v>
      </c>
      <c r="E20">
        <f>VLOOKUP(C20,'Active 1'!C$21:E$970,3,FALSE)</f>
        <v>-6793.0478233968597</v>
      </c>
      <c r="F20" s="4" t="s">
        <v>60</v>
      </c>
      <c r="G20" t="str">
        <f t="shared" si="4"/>
        <v>33023.349</v>
      </c>
      <c r="H20" s="25">
        <f t="shared" si="5"/>
        <v>5</v>
      </c>
      <c r="I20" s="54" t="s">
        <v>100</v>
      </c>
      <c r="J20" s="55" t="s">
        <v>101</v>
      </c>
      <c r="K20" s="54">
        <v>5</v>
      </c>
      <c r="L20" s="54" t="s">
        <v>102</v>
      </c>
      <c r="M20" s="55" t="s">
        <v>83</v>
      </c>
      <c r="N20" s="55"/>
      <c r="O20" s="56" t="s">
        <v>84</v>
      </c>
      <c r="P20" s="56" t="s">
        <v>50</v>
      </c>
    </row>
    <row r="21" spans="1:16" ht="12.75" customHeight="1" x14ac:dyDescent="0.2">
      <c r="A21" s="25" t="str">
        <f t="shared" si="0"/>
        <v> AHSB 7.7.369 </v>
      </c>
      <c r="B21" s="4" t="str">
        <f t="shared" si="1"/>
        <v>I</v>
      </c>
      <c r="C21" s="25">
        <f t="shared" si="2"/>
        <v>33709.385999999999</v>
      </c>
      <c r="D21" t="str">
        <f t="shared" si="3"/>
        <v>vis</v>
      </c>
      <c r="E21">
        <f>VLOOKUP(C21,'Active 1'!C$21:E$970,3,FALSE)</f>
        <v>-6562.1085436865769</v>
      </c>
      <c r="F21" s="4" t="s">
        <v>60</v>
      </c>
      <c r="G21" t="str">
        <f t="shared" si="4"/>
        <v>33709.386</v>
      </c>
      <c r="H21" s="25">
        <f t="shared" si="5"/>
        <v>236</v>
      </c>
      <c r="I21" s="54" t="s">
        <v>103</v>
      </c>
      <c r="J21" s="55" t="s">
        <v>104</v>
      </c>
      <c r="K21" s="54">
        <v>236</v>
      </c>
      <c r="L21" s="54" t="s">
        <v>105</v>
      </c>
      <c r="M21" s="55" t="s">
        <v>83</v>
      </c>
      <c r="N21" s="55"/>
      <c r="O21" s="56" t="s">
        <v>84</v>
      </c>
      <c r="P21" s="56" t="s">
        <v>50</v>
      </c>
    </row>
    <row r="22" spans="1:16" ht="12.75" customHeight="1" x14ac:dyDescent="0.2">
      <c r="A22" s="25" t="str">
        <f t="shared" si="0"/>
        <v> AHSB 7.7.369 </v>
      </c>
      <c r="B22" s="4" t="str">
        <f t="shared" si="1"/>
        <v>II</v>
      </c>
      <c r="C22" s="25">
        <f t="shared" si="2"/>
        <v>34085.290999999997</v>
      </c>
      <c r="D22" t="str">
        <f t="shared" si="3"/>
        <v>vis</v>
      </c>
      <c r="E22">
        <f>VLOOKUP(C22,'Active 1'!C$21:E$970,3,FALSE)</f>
        <v>-6435.5683863197082</v>
      </c>
      <c r="F22" s="4" t="s">
        <v>60</v>
      </c>
      <c r="G22" t="str">
        <f t="shared" si="4"/>
        <v>34085.291</v>
      </c>
      <c r="H22" s="25">
        <f t="shared" si="5"/>
        <v>362.5</v>
      </c>
      <c r="I22" s="54" t="s">
        <v>106</v>
      </c>
      <c r="J22" s="55" t="s">
        <v>107</v>
      </c>
      <c r="K22" s="54">
        <v>362.5</v>
      </c>
      <c r="L22" s="54" t="s">
        <v>108</v>
      </c>
      <c r="M22" s="55" t="s">
        <v>83</v>
      </c>
      <c r="N22" s="55"/>
      <c r="O22" s="56" t="s">
        <v>84</v>
      </c>
      <c r="P22" s="56" t="s">
        <v>50</v>
      </c>
    </row>
    <row r="23" spans="1:16" ht="12.75" customHeight="1" x14ac:dyDescent="0.2">
      <c r="A23" s="25" t="str">
        <f t="shared" si="0"/>
        <v> AHSB 7.7.369 </v>
      </c>
      <c r="B23" s="4" t="str">
        <f t="shared" si="1"/>
        <v>II</v>
      </c>
      <c r="C23" s="25">
        <f t="shared" si="2"/>
        <v>34664.572999999997</v>
      </c>
      <c r="D23" t="str">
        <f t="shared" si="3"/>
        <v>vis</v>
      </c>
      <c r="E23">
        <f>VLOOKUP(C23,'Active 1'!C$21:E$970,3,FALSE)</f>
        <v>-6240.5658313130061</v>
      </c>
      <c r="F23" s="4" t="s">
        <v>60</v>
      </c>
      <c r="G23" t="str">
        <f t="shared" si="4"/>
        <v>34664.573</v>
      </c>
      <c r="H23" s="25">
        <f t="shared" si="5"/>
        <v>557.5</v>
      </c>
      <c r="I23" s="54" t="s">
        <v>109</v>
      </c>
      <c r="J23" s="55" t="s">
        <v>110</v>
      </c>
      <c r="K23" s="54">
        <v>557.5</v>
      </c>
      <c r="L23" s="54" t="s">
        <v>111</v>
      </c>
      <c r="M23" s="55" t="s">
        <v>83</v>
      </c>
      <c r="N23" s="55"/>
      <c r="O23" s="56" t="s">
        <v>84</v>
      </c>
      <c r="P23" s="56" t="s">
        <v>50</v>
      </c>
    </row>
    <row r="24" spans="1:16" ht="12.75" customHeight="1" x14ac:dyDescent="0.2">
      <c r="A24" s="25" t="str">
        <f t="shared" si="0"/>
        <v> AHSB 7.7.369 </v>
      </c>
      <c r="B24" s="4" t="str">
        <f t="shared" si="1"/>
        <v>II</v>
      </c>
      <c r="C24" s="25">
        <f t="shared" si="2"/>
        <v>34780.472000000002</v>
      </c>
      <c r="D24" t="str">
        <f t="shared" si="3"/>
        <v>vis</v>
      </c>
      <c r="E24">
        <f>VLOOKUP(C24,'Active 1'!C$21:E$970,3,FALSE)</f>
        <v>-6201.5509799578413</v>
      </c>
      <c r="F24" s="4" t="s">
        <v>60</v>
      </c>
      <c r="G24" t="str">
        <f t="shared" si="4"/>
        <v>34780.472</v>
      </c>
      <c r="H24" s="25">
        <f t="shared" si="5"/>
        <v>596.5</v>
      </c>
      <c r="I24" s="54" t="s">
        <v>112</v>
      </c>
      <c r="J24" s="55" t="s">
        <v>113</v>
      </c>
      <c r="K24" s="54">
        <v>596.5</v>
      </c>
      <c r="L24" s="54" t="s">
        <v>114</v>
      </c>
      <c r="M24" s="55" t="s">
        <v>83</v>
      </c>
      <c r="N24" s="55"/>
      <c r="O24" s="56" t="s">
        <v>84</v>
      </c>
      <c r="P24" s="56" t="s">
        <v>50</v>
      </c>
    </row>
    <row r="25" spans="1:16" ht="12.75" customHeight="1" x14ac:dyDescent="0.2">
      <c r="A25" s="25" t="str">
        <f t="shared" si="0"/>
        <v> AHSB 7.7.369 </v>
      </c>
      <c r="B25" s="4" t="str">
        <f t="shared" si="1"/>
        <v>II</v>
      </c>
      <c r="C25" s="25">
        <f t="shared" si="2"/>
        <v>34795.275000000001</v>
      </c>
      <c r="D25" t="str">
        <f t="shared" si="3"/>
        <v>vis</v>
      </c>
      <c r="E25">
        <f>VLOOKUP(C25,'Active 1'!C$21:E$970,3,FALSE)</f>
        <v>-6196.5678753183665</v>
      </c>
      <c r="F25" s="4" t="s">
        <v>60</v>
      </c>
      <c r="G25" t="str">
        <f t="shared" si="4"/>
        <v>34795.275</v>
      </c>
      <c r="H25" s="25">
        <f t="shared" si="5"/>
        <v>601.5</v>
      </c>
      <c r="I25" s="54" t="s">
        <v>115</v>
      </c>
      <c r="J25" s="55" t="s">
        <v>116</v>
      </c>
      <c r="K25" s="54">
        <v>601.5</v>
      </c>
      <c r="L25" s="54" t="s">
        <v>87</v>
      </c>
      <c r="M25" s="55" t="s">
        <v>83</v>
      </c>
      <c r="N25" s="55"/>
      <c r="O25" s="56" t="s">
        <v>84</v>
      </c>
      <c r="P25" s="56" t="s">
        <v>50</v>
      </c>
    </row>
    <row r="26" spans="1:16" ht="12.75" customHeight="1" x14ac:dyDescent="0.2">
      <c r="A26" s="25" t="str">
        <f t="shared" si="0"/>
        <v> AHSB 7.7.369 </v>
      </c>
      <c r="B26" s="4" t="str">
        <f t="shared" si="1"/>
        <v>I</v>
      </c>
      <c r="C26" s="25">
        <f t="shared" si="2"/>
        <v>35129.446000000004</v>
      </c>
      <c r="D26" t="str">
        <f t="shared" si="3"/>
        <v>vis</v>
      </c>
      <c r="E26">
        <f>VLOOKUP(C26,'Active 1'!C$21:E$970,3,FALSE)</f>
        <v>-6084.0765519056849</v>
      </c>
      <c r="F26" s="4" t="s">
        <v>60</v>
      </c>
      <c r="G26" t="str">
        <f t="shared" si="4"/>
        <v>35129.446</v>
      </c>
      <c r="H26" s="25">
        <f t="shared" si="5"/>
        <v>714</v>
      </c>
      <c r="I26" s="54" t="s">
        <v>117</v>
      </c>
      <c r="J26" s="55" t="s">
        <v>118</v>
      </c>
      <c r="K26" s="54">
        <v>714</v>
      </c>
      <c r="L26" s="54" t="s">
        <v>119</v>
      </c>
      <c r="M26" s="55" t="s">
        <v>83</v>
      </c>
      <c r="N26" s="55"/>
      <c r="O26" s="56" t="s">
        <v>84</v>
      </c>
      <c r="P26" s="56" t="s">
        <v>50</v>
      </c>
    </row>
    <row r="27" spans="1:16" ht="12.75" customHeight="1" x14ac:dyDescent="0.2">
      <c r="A27" s="25" t="str">
        <f t="shared" si="0"/>
        <v> AHSB 7.7.369 </v>
      </c>
      <c r="B27" s="4" t="str">
        <f t="shared" si="1"/>
        <v>I</v>
      </c>
      <c r="C27" s="25">
        <f t="shared" si="2"/>
        <v>36252.366000000002</v>
      </c>
      <c r="D27" t="str">
        <f t="shared" si="3"/>
        <v>vis</v>
      </c>
      <c r="E27">
        <f>VLOOKUP(C27,'Active 1'!C$21:E$970,3,FALSE)</f>
        <v>-5706.0702111802248</v>
      </c>
      <c r="F27" s="4" t="s">
        <v>60</v>
      </c>
      <c r="G27" t="str">
        <f t="shared" si="4"/>
        <v>36252.366</v>
      </c>
      <c r="H27" s="25">
        <f t="shared" si="5"/>
        <v>1092</v>
      </c>
      <c r="I27" s="54" t="s">
        <v>120</v>
      </c>
      <c r="J27" s="55" t="s">
        <v>121</v>
      </c>
      <c r="K27" s="54">
        <v>1092</v>
      </c>
      <c r="L27" s="54" t="s">
        <v>122</v>
      </c>
      <c r="M27" s="55" t="s">
        <v>83</v>
      </c>
      <c r="N27" s="55"/>
      <c r="O27" s="56" t="s">
        <v>84</v>
      </c>
      <c r="P27" s="56" t="s">
        <v>50</v>
      </c>
    </row>
    <row r="28" spans="1:16" ht="12.75" customHeight="1" x14ac:dyDescent="0.2">
      <c r="A28" s="25" t="str">
        <f t="shared" si="0"/>
        <v>IBVS 6063 </v>
      </c>
      <c r="B28" s="4" t="str">
        <f t="shared" si="1"/>
        <v>II</v>
      </c>
      <c r="C28" s="25">
        <f t="shared" si="2"/>
        <v>56341.707399999999</v>
      </c>
      <c r="D28" t="str">
        <f t="shared" si="3"/>
        <v>vis</v>
      </c>
      <c r="E28" t="e">
        <f>VLOOKUP(C28,'Active 1'!C$21:E$970,3,FALSE)</f>
        <v>#N/A</v>
      </c>
      <c r="F28" s="4" t="s">
        <v>60</v>
      </c>
      <c r="G28" t="str">
        <f t="shared" si="4"/>
        <v>56341.7074</v>
      </c>
      <c r="H28" s="25">
        <f t="shared" si="5"/>
        <v>7854.5</v>
      </c>
      <c r="I28" s="54" t="s">
        <v>123</v>
      </c>
      <c r="J28" s="55" t="s">
        <v>124</v>
      </c>
      <c r="K28" s="54" t="s">
        <v>75</v>
      </c>
      <c r="L28" s="54" t="s">
        <v>125</v>
      </c>
      <c r="M28" s="55" t="s">
        <v>64</v>
      </c>
      <c r="N28" s="55" t="s">
        <v>60</v>
      </c>
      <c r="O28" s="56" t="s">
        <v>78</v>
      </c>
      <c r="P28" s="57" t="s">
        <v>79</v>
      </c>
    </row>
    <row r="29" spans="1:16" ht="12.75" customHeight="1" x14ac:dyDescent="0.2">
      <c r="A29" s="25" t="str">
        <f t="shared" si="0"/>
        <v>IBVS 6063 </v>
      </c>
      <c r="B29" s="4" t="str">
        <f t="shared" si="1"/>
        <v>II</v>
      </c>
      <c r="C29" s="25">
        <f t="shared" si="2"/>
        <v>56341.7117</v>
      </c>
      <c r="D29" t="str">
        <f t="shared" si="3"/>
        <v>vis</v>
      </c>
      <c r="E29" t="e">
        <f>VLOOKUP(C29,'Active 1'!C$21:E$970,3,FALSE)</f>
        <v>#N/A</v>
      </c>
      <c r="F29" s="4" t="s">
        <v>60</v>
      </c>
      <c r="G29" t="str">
        <f t="shared" si="4"/>
        <v>56341.7117</v>
      </c>
      <c r="H29" s="25">
        <f t="shared" si="5"/>
        <v>7854.5</v>
      </c>
      <c r="I29" s="54" t="s">
        <v>126</v>
      </c>
      <c r="J29" s="55" t="s">
        <v>127</v>
      </c>
      <c r="K29" s="54" t="s">
        <v>75</v>
      </c>
      <c r="L29" s="54" t="s">
        <v>128</v>
      </c>
      <c r="M29" s="55" t="s">
        <v>64</v>
      </c>
      <c r="N29" s="55" t="s">
        <v>46</v>
      </c>
      <c r="O29" s="56" t="s">
        <v>78</v>
      </c>
      <c r="P29" s="57" t="s">
        <v>79</v>
      </c>
    </row>
    <row r="30" spans="1:16" ht="12.75" customHeight="1" x14ac:dyDescent="0.2">
      <c r="A30" s="25" t="str">
        <f t="shared" si="0"/>
        <v>IBVS 6063 </v>
      </c>
      <c r="B30" s="4" t="str">
        <f t="shared" si="1"/>
        <v>II</v>
      </c>
      <c r="C30" s="25">
        <f t="shared" si="2"/>
        <v>56341.711900000002</v>
      </c>
      <c r="D30" t="str">
        <f t="shared" si="3"/>
        <v>vis</v>
      </c>
      <c r="E30" t="e">
        <f>VLOOKUP(C30,'Active 1'!C$21:E$970,3,FALSE)</f>
        <v>#N/A</v>
      </c>
      <c r="F30" s="4" t="s">
        <v>60</v>
      </c>
      <c r="G30" t="str">
        <f t="shared" si="4"/>
        <v>56341.7119</v>
      </c>
      <c r="H30" s="25">
        <f t="shared" si="5"/>
        <v>7854.5</v>
      </c>
      <c r="I30" s="54" t="s">
        <v>129</v>
      </c>
      <c r="J30" s="55" t="s">
        <v>130</v>
      </c>
      <c r="K30" s="54" t="s">
        <v>75</v>
      </c>
      <c r="L30" s="54" t="s">
        <v>131</v>
      </c>
      <c r="M30" s="55" t="s">
        <v>64</v>
      </c>
      <c r="N30" s="55" t="s">
        <v>132</v>
      </c>
      <c r="O30" s="56" t="s">
        <v>78</v>
      </c>
      <c r="P30" s="57" t="s">
        <v>79</v>
      </c>
    </row>
  </sheetData>
  <sheetProtection selectLockedCells="1" selectUnlockedCells="1"/>
  <hyperlinks>
    <hyperlink ref="P11" r:id="rId1"/>
    <hyperlink ref="P12" r:id="rId2"/>
    <hyperlink ref="P13" r:id="rId3"/>
    <hyperlink ref="P28" r:id="rId4"/>
    <hyperlink ref="P29" r:id="rId5"/>
    <hyperlink ref="P30" r:id="rId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2024-02-25T03:44:00Z</dcterms:created>
  <dcterms:modified xsi:type="dcterms:W3CDTF">2024-02-25T03:44:00Z</dcterms:modified>
</cp:coreProperties>
</file>