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0BC4F00-0F39-413D-89C7-6E146FA55E1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38" i="2" l="1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E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E17" i="2"/>
  <c r="G16" i="2"/>
  <c r="C16" i="2"/>
  <c r="G15" i="2"/>
  <c r="C15" i="2"/>
  <c r="E15" i="2"/>
  <c r="G14" i="2"/>
  <c r="C14" i="2"/>
  <c r="G13" i="2"/>
  <c r="C13" i="2"/>
  <c r="E13" i="2"/>
  <c r="G12" i="2"/>
  <c r="C12" i="2"/>
  <c r="G11" i="2"/>
  <c r="C11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F11" i="1"/>
  <c r="Q51" i="1"/>
  <c r="Q53" i="1"/>
  <c r="Q52" i="1"/>
  <c r="G11" i="1"/>
  <c r="E14" i="1"/>
  <c r="E15" i="1" s="1"/>
  <c r="C17" i="1"/>
  <c r="Q48" i="1"/>
  <c r="E39" i="1"/>
  <c r="F39" i="1"/>
  <c r="G39" i="1" s="1"/>
  <c r="I39" i="1" s="1"/>
  <c r="E50" i="1"/>
  <c r="E35" i="2" s="1"/>
  <c r="Q44" i="1"/>
  <c r="Q50" i="1"/>
  <c r="C7" i="1"/>
  <c r="E44" i="1"/>
  <c r="F44" i="1" s="1"/>
  <c r="C8" i="1"/>
  <c r="Q21" i="1"/>
  <c r="Q22" i="1"/>
  <c r="E23" i="1"/>
  <c r="F23" i="1"/>
  <c r="Q23" i="1"/>
  <c r="Q24" i="1"/>
  <c r="E25" i="1"/>
  <c r="F25" i="1"/>
  <c r="G25" i="1" s="1"/>
  <c r="I25" i="1" s="1"/>
  <c r="Q25" i="1"/>
  <c r="Q26" i="1"/>
  <c r="E27" i="1"/>
  <c r="F27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5" i="1"/>
  <c r="Q46" i="1"/>
  <c r="Q47" i="1"/>
  <c r="Q49" i="1"/>
  <c r="E12" i="2"/>
  <c r="E19" i="2"/>
  <c r="E31" i="1"/>
  <c r="F31" i="1" s="1"/>
  <c r="G31" i="1" s="1"/>
  <c r="I31" i="1" s="1"/>
  <c r="G23" i="1"/>
  <c r="I23" i="1" s="1"/>
  <c r="G27" i="1"/>
  <c r="I27" i="1" s="1"/>
  <c r="E22" i="1"/>
  <c r="F22" i="1"/>
  <c r="G22" i="1" s="1"/>
  <c r="I22" i="1" s="1"/>
  <c r="E46" i="1"/>
  <c r="F46" i="1" s="1"/>
  <c r="G46" i="1" s="1"/>
  <c r="J46" i="1" s="1"/>
  <c r="E36" i="1"/>
  <c r="E25" i="2" s="1"/>
  <c r="F36" i="1"/>
  <c r="G36" i="1" s="1"/>
  <c r="I36" i="1" s="1"/>
  <c r="E42" i="1"/>
  <c r="F42" i="1" s="1"/>
  <c r="G42" i="1" s="1"/>
  <c r="J42" i="1" s="1"/>
  <c r="E33" i="1"/>
  <c r="F33" i="1" s="1"/>
  <c r="G33" i="1" s="1"/>
  <c r="I33" i="1" s="1"/>
  <c r="E24" i="1"/>
  <c r="E14" i="2" s="1"/>
  <c r="E49" i="1"/>
  <c r="E34" i="2" s="1"/>
  <c r="F49" i="1"/>
  <c r="G49" i="1" s="1"/>
  <c r="J49" i="1" s="1"/>
  <c r="E38" i="1"/>
  <c r="E27" i="2" s="1"/>
  <c r="F38" i="1"/>
  <c r="G38" i="1" s="1"/>
  <c r="I38" i="1" s="1"/>
  <c r="E30" i="1"/>
  <c r="F30" i="1" s="1"/>
  <c r="G30" i="1" s="1"/>
  <c r="I30" i="1" s="1"/>
  <c r="E53" i="1"/>
  <c r="F53" i="1" s="1"/>
  <c r="G53" i="1" s="1"/>
  <c r="J53" i="1" s="1"/>
  <c r="E51" i="1"/>
  <c r="E36" i="2" s="1"/>
  <c r="F51" i="1"/>
  <c r="R51" i="1" s="1"/>
  <c r="E45" i="1"/>
  <c r="F45" i="1" s="1"/>
  <c r="G45" i="1" s="1"/>
  <c r="J45" i="1" s="1"/>
  <c r="E29" i="1"/>
  <c r="F29" i="1" s="1"/>
  <c r="G29" i="1" s="1"/>
  <c r="I29" i="1" s="1"/>
  <c r="E21" i="1"/>
  <c r="F21" i="1"/>
  <c r="G21" i="1" s="1"/>
  <c r="I21" i="1" s="1"/>
  <c r="E35" i="1"/>
  <c r="F35" i="1" s="1"/>
  <c r="G35" i="1" s="1"/>
  <c r="I35" i="1" s="1"/>
  <c r="E52" i="1"/>
  <c r="F52" i="1" s="1"/>
  <c r="G52" i="1" s="1"/>
  <c r="J52" i="1" s="1"/>
  <c r="E26" i="1"/>
  <c r="E16" i="2" s="1"/>
  <c r="E41" i="1"/>
  <c r="F41" i="1" s="1"/>
  <c r="E40" i="1"/>
  <c r="E29" i="2" s="1"/>
  <c r="E32" i="1"/>
  <c r="F32" i="1" s="1"/>
  <c r="G32" i="1" s="1"/>
  <c r="H32" i="1" s="1"/>
  <c r="E48" i="1"/>
  <c r="E33" i="2" s="1"/>
  <c r="E47" i="1"/>
  <c r="F47" i="1" s="1"/>
  <c r="G47" i="1" s="1"/>
  <c r="J47" i="1" s="1"/>
  <c r="E37" i="1"/>
  <c r="F37" i="1" s="1"/>
  <c r="G37" i="1" s="1"/>
  <c r="I37" i="1" s="1"/>
  <c r="E28" i="1"/>
  <c r="F28" i="1"/>
  <c r="G28" i="1"/>
  <c r="I28" i="1" s="1"/>
  <c r="E43" i="1"/>
  <c r="F43" i="1" s="1"/>
  <c r="G43" i="1" s="1"/>
  <c r="I43" i="1" s="1"/>
  <c r="E34" i="1"/>
  <c r="F34" i="1"/>
  <c r="G34" i="1"/>
  <c r="I34" i="1" s="1"/>
  <c r="E24" i="2"/>
  <c r="E18" i="2"/>
  <c r="E21" i="2"/>
  <c r="E20" i="2"/>
  <c r="E11" i="2"/>
  <c r="E22" i="2"/>
  <c r="E23" i="2"/>
  <c r="E26" i="2"/>
  <c r="E31" i="2"/>
  <c r="E32" i="2" l="1"/>
  <c r="E38" i="2"/>
  <c r="E37" i="2"/>
  <c r="F48" i="1"/>
  <c r="G48" i="1" s="1"/>
  <c r="F40" i="1"/>
  <c r="G40" i="1" s="1"/>
  <c r="I40" i="1" s="1"/>
  <c r="F26" i="1"/>
  <c r="G26" i="1" s="1"/>
  <c r="I26" i="1" s="1"/>
  <c r="F24" i="1"/>
  <c r="G24" i="1" s="1"/>
  <c r="I24" i="1" s="1"/>
  <c r="E30" i="2"/>
  <c r="F50" i="1"/>
  <c r="G50" i="1" s="1"/>
  <c r="J50" i="1" s="1"/>
  <c r="C12" i="1"/>
  <c r="C11" i="1"/>
  <c r="C16" i="1" l="1"/>
  <c r="D18" i="1" s="1"/>
  <c r="J48" i="1"/>
  <c r="O44" i="1"/>
  <c r="O43" i="1"/>
  <c r="O45" i="1"/>
  <c r="O50" i="1"/>
  <c r="O51" i="1"/>
  <c r="O48" i="1"/>
  <c r="O47" i="1"/>
  <c r="O42" i="1"/>
  <c r="O49" i="1"/>
  <c r="C15" i="1"/>
  <c r="O46" i="1"/>
  <c r="O53" i="1"/>
  <c r="O52" i="1"/>
  <c r="E16" i="1" l="1"/>
  <c r="E17" i="1" s="1"/>
  <c r="C18" i="1"/>
</calcChain>
</file>

<file path=xl/sharedStrings.xml><?xml version="1.0" encoding="utf-8"?>
<sst xmlns="http://schemas.openxmlformats.org/spreadsheetml/2006/main" count="305" uniqueCount="177">
  <si>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</si>
  <si>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</si>
  <si>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</si>
  <si>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</si>
  <si>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</si>
  <si>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</si>
  <si>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</si>
  <si>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</si>
  <si>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</si>
  <si>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</si>
  <si>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</si>
  <si>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</si>
  <si>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</si>
  <si>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</si>
  <si>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</si>
  <si>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</si>
  <si>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</si>
  <si>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</si>
  <si>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</si>
  <si>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</si>
  <si>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</si>
  <si>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</si>
  <si>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</si>
  <si>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</si>
  <si>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</si>
  <si>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</si>
  <si>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</si>
  <si>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IBVS 4711</t>
  </si>
  <si>
    <t>I</t>
  </si>
  <si>
    <t>ROTSE</t>
  </si>
  <si>
    <t>EA/SD:</t>
  </si>
  <si>
    <t>IBVS 5583</t>
  </si>
  <si>
    <t>IBVS 5592</t>
  </si>
  <si>
    <t>A.A.Wachmann AHSB 7.7.375</t>
  </si>
  <si>
    <t>A.Dedoch BRNO 32</t>
  </si>
  <si>
    <t>W.Moschner BAVM 117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</si>
  <si>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</si>
  <si>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</si>
  <si>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</si>
  <si>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</si>
  <si>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</si>
  <si>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</si>
  <si>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</si>
  <si>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</si>
  <si>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</si>
  <si>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</si>
  <si>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CCD+V</t>
  </si>
  <si>
    <t>Add cycle</t>
  </si>
  <si>
    <t>Old Cycle</t>
  </si>
  <si>
    <t>IBVS 5918</t>
  </si>
  <si>
    <t>IBVS 6029</t>
  </si>
  <si>
    <t>IBVS 5984</t>
  </si>
  <si>
    <t>BAD?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</si>
  <si>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</si>
  <si>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</si>
  <si>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</si>
  <si>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</si>
  <si>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</si>
  <si>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</si>
  <si>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</si>
  <si>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</si>
  <si>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</si>
  <si>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</si>
  <si>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</si>
  <si>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2430025.410 </t>
  </si>
  <si>
    <t> 30.01.1941 21:50 </t>
  </si>
  <si>
    <t> -0.007 </t>
  </si>
  <si>
    <t>P </t>
  </si>
  <si>
    <t> A.A.Wachmann </t>
  </si>
  <si>
    <t> AHSB 7.7.375 </t>
  </si>
  <si>
    <t>2431033.435 </t>
  </si>
  <si>
    <t> 04.11.1943 22:26 </t>
  </si>
  <si>
    <t> -0.008 </t>
  </si>
  <si>
    <t>2431060.490 </t>
  </si>
  <si>
    <t> 01.12.1943 23:45 </t>
  </si>
  <si>
    <t> -0.005 </t>
  </si>
  <si>
    <t>2431117.440 </t>
  </si>
  <si>
    <t> 27.01.1944 22:33 </t>
  </si>
  <si>
    <t>2431174.395 </t>
  </si>
  <si>
    <t> 24.03.1944 21:28 </t>
  </si>
  <si>
    <t> -0.001 </t>
  </si>
  <si>
    <t>2432888.605 </t>
  </si>
  <si>
    <t> 03.12.1948 02:31 </t>
  </si>
  <si>
    <t> -0.004 </t>
  </si>
  <si>
    <t>2432938.445 </t>
  </si>
  <si>
    <t> 21.01.1949 22:40 </t>
  </si>
  <si>
    <t> 0.004 </t>
  </si>
  <si>
    <t>2432948.415 </t>
  </si>
  <si>
    <t> 31.01.1949 21:57 </t>
  </si>
  <si>
    <t> 0.008 </t>
  </si>
  <si>
    <t>2432978.295 </t>
  </si>
  <si>
    <t> 02.03.1949 19:04 </t>
  </si>
  <si>
    <t> -0.011 </t>
  </si>
  <si>
    <t>2433005.370 </t>
  </si>
  <si>
    <t> 29.03.1949 20:52 </t>
  </si>
  <si>
    <t> 0.012 </t>
  </si>
  <si>
    <t>2433217.510 </t>
  </si>
  <si>
    <t> 28.10.1949 00:14 </t>
  </si>
  <si>
    <t> 0.011 </t>
  </si>
  <si>
    <t>2433294.385 </t>
  </si>
  <si>
    <t> 12.01.1950 21:14 </t>
  </si>
  <si>
    <t> 0.003 </t>
  </si>
  <si>
    <t>2433301.505 </t>
  </si>
  <si>
    <t> 20.01.1950 00:07 </t>
  </si>
  <si>
    <t>2434416.310 </t>
  </si>
  <si>
    <t> 07.02.1953 19:26 </t>
  </si>
  <si>
    <t> 0.001 </t>
  </si>
  <si>
    <t>2434769.410 </t>
  </si>
  <si>
    <t> 26.01.1954 21:50 </t>
  </si>
  <si>
    <t> 0.007 </t>
  </si>
  <si>
    <t>2434772.255 </t>
  </si>
  <si>
    <t> 29.01.1954 18:07 </t>
  </si>
  <si>
    <t> 0.005 </t>
  </si>
  <si>
    <t>2434779.375 </t>
  </si>
  <si>
    <t> 05.02.1954 21:00 </t>
  </si>
  <si>
    <t> 0.006 </t>
  </si>
  <si>
    <t>2435179.440 </t>
  </si>
  <si>
    <t> 12.03.1955 22:33 </t>
  </si>
  <si>
    <t>2436983.340 </t>
  </si>
  <si>
    <t> 18.02.1960 20:09 </t>
  </si>
  <si>
    <t> -0.017 </t>
  </si>
  <si>
    <t>2450043.5654 </t>
  </si>
  <si>
    <t> 22.11.1995 01:34 </t>
  </si>
  <si>
    <t> 0.0108 </t>
  </si>
  <si>
    <t>V </t>
  </si>
  <si>
    <t> A.Dedoch </t>
  </si>
  <si>
    <t> BRNO 32 </t>
  </si>
  <si>
    <t>2451199.4747 </t>
  </si>
  <si>
    <t> 20.01.1999 23:23 </t>
  </si>
  <si>
    <t> -0.1772 </t>
  </si>
  <si>
    <t>E </t>
  </si>
  <si>
    <t>o</t>
  </si>
  <si>
    <t> W.Moschner </t>
  </si>
  <si>
    <t>BAVM 117 </t>
  </si>
  <si>
    <t>2451841.5820 </t>
  </si>
  <si>
    <t> 24.10.2000 01:58 </t>
  </si>
  <si>
    <t> -0.1880 </t>
  </si>
  <si>
    <t>?</t>
  </si>
  <si>
    <t> M.Zejda </t>
  </si>
  <si>
    <t>IBVS 5583 </t>
  </si>
  <si>
    <t>2452321.39170 </t>
  </si>
  <si>
    <t> 15.02.2002 21:24 </t>
  </si>
  <si>
    <t> -0.18710 </t>
  </si>
  <si>
    <t>C </t>
  </si>
  <si>
    <t> P.Hájek </t>
  </si>
  <si>
    <t>OEJV 0074 </t>
  </si>
  <si>
    <t>2453090.2114 </t>
  </si>
  <si>
    <t> 25.03.2004 17:04 </t>
  </si>
  <si>
    <t> -0.2006 </t>
  </si>
  <si>
    <t> T.Krajci </t>
  </si>
  <si>
    <t>IBVS 5592 </t>
  </si>
  <si>
    <t>2453769.3412 </t>
  </si>
  <si>
    <t> 02.02.2006 20:11 </t>
  </si>
  <si>
    <t> -0.2067 </t>
  </si>
  <si>
    <t> Moschner </t>
  </si>
  <si>
    <t>BAVM 178 </t>
  </si>
  <si>
    <t>2454164.4049 </t>
  </si>
  <si>
    <t> 04.03.2007 21:43 </t>
  </si>
  <si>
    <t> -0.2378 </t>
  </si>
  <si>
    <t>-I</t>
  </si>
  <si>
    <t> F.Agerer </t>
  </si>
  <si>
    <t>BAVM 215 </t>
  </si>
  <si>
    <t>2454841.4233 </t>
  </si>
  <si>
    <t> 09.01.2009 22:09 </t>
  </si>
  <si>
    <t>15134</t>
  </si>
  <si>
    <t> -0.2197 </t>
  </si>
  <si>
    <t>BAVM 209 </t>
  </si>
  <si>
    <t>2455984.6944 </t>
  </si>
  <si>
    <t> 27.02.2012 04:39 </t>
  </si>
  <si>
    <t>15937</t>
  </si>
  <si>
    <t> -0.2320 </t>
  </si>
  <si>
    <t> R.Diethelm </t>
  </si>
  <si>
    <t>IBVS 6029 </t>
  </si>
  <si>
    <t>S4</t>
  </si>
  <si>
    <t>S3</t>
  </si>
  <si>
    <t>V0528 Mon / GSC 00166-01467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</si>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</sst>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22" fontId="11" fillId="0" borderId="0" xfId="0" applyNumberFormat="1" applyFont="1" applyAlignment="1"/>
    <xf numFmtId="0" fontId="11" fillId="0" borderId="0" xfId="0" applyFont="1" applyAlignme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0" xfId="0">
      <alignment vertical="top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wrapText="1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5" xfId="0" applyFont="1" applyFill="1" applyBorder="1" applyAlignment="1">
      <alignment horizontal="center"/>
    </xf>
    <xf numFmtId="0" fontId="19" fillId="0" borderId="0" xfId="0" applyFont="1" applyAlignment="1"/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1" fillId="2" borderId="12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V0528 Mon - O-C Diagr.</a:t>
            </a:r>
          </a:p>
        </c:rich>
      </c:tx>
      <c:layout>
        <c:manualLayout>
          <c:xMode val="edge"/>
          <c:yMode val="edge"/>
          <c:x val="0.3751827882828515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2709991382009"/>
          <c:y val="0.15"/>
          <c:w val="0.82481810619447582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73-4A65-A71E-102A7C6BA9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-7.3303999997733627E-3</c:v>
                </c:pt>
                <c:pt idx="1">
                  <c:v>-8.0211999957100488E-3</c:v>
                </c:pt>
                <c:pt idx="2">
                  <c:v>-4.5580999976664316E-3</c:v>
                </c:pt>
                <c:pt idx="3">
                  <c:v>-5.1620999984152149E-3</c:v>
                </c:pt>
                <c:pt idx="4">
                  <c:v>-7.6609999814536422E-4</c:v>
                </c:pt>
                <c:pt idx="5">
                  <c:v>-3.9464999936171807E-3</c:v>
                </c:pt>
                <c:pt idx="6">
                  <c:v>4.2749999993247911E-3</c:v>
                </c:pt>
                <c:pt idx="7">
                  <c:v>7.9193000055965967E-3</c:v>
                </c:pt>
                <c:pt idx="8">
                  <c:v>-1.1147799996251706E-2</c:v>
                </c:pt>
                <c:pt idx="9">
                  <c:v>1.2315300002228469E-2</c:v>
                </c:pt>
                <c:pt idx="10">
                  <c:v>1.131540000642417E-2</c:v>
                </c:pt>
                <c:pt idx="12">
                  <c:v>3.0000000042491592E-3</c:v>
                </c:pt>
                <c:pt idx="13">
                  <c:v>4.1744999980437569E-3</c:v>
                </c:pt>
                <c:pt idx="14">
                  <c:v>1.1012000031769276E-3</c:v>
                </c:pt>
                <c:pt idx="15">
                  <c:v>7.3564000049373135E-3</c:v>
                </c:pt>
                <c:pt idx="16">
                  <c:v>4.8261999982059933E-3</c:v>
                </c:pt>
                <c:pt idx="17">
                  <c:v>6.0006999992765486E-3</c:v>
                </c:pt>
                <c:pt idx="18">
                  <c:v>-6.9923999981256202E-3</c:v>
                </c:pt>
                <c:pt idx="19">
                  <c:v>-1.737410000350792E-2</c:v>
                </c:pt>
                <c:pt idx="22">
                  <c:v>-0.17719759999454254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73-4A65-A71E-102A7C6BA9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1">
                  <c:v>-0.17719759999454254</c:v>
                </c:pt>
                <c:pt idx="23">
                  <c:v>-0.17719759999454254</c:v>
                </c:pt>
                <c:pt idx="24">
                  <c:v>-0.17258599999331636</c:v>
                </c:pt>
                <c:pt idx="25">
                  <c:v>-0.18795769999996992</c:v>
                </c:pt>
                <c:pt idx="26">
                  <c:v>-0.18795769999996992</c:v>
                </c:pt>
                <c:pt idx="27">
                  <c:v>-0.18709639999724459</c:v>
                </c:pt>
                <c:pt idx="28">
                  <c:v>-0.20055039999715518</c:v>
                </c:pt>
                <c:pt idx="29">
                  <c:v>-0.20670309999695746</c:v>
                </c:pt>
                <c:pt idx="31">
                  <c:v>-0.21972339999774704</c:v>
                </c:pt>
                <c:pt idx="32">
                  <c:v>-0.23199870000098599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73-4A65-A71E-102A7C6BA9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73-4A65-A71E-102A7C6BA9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73-4A65-A71E-102A7C6BA9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73-4A65-A71E-102A7C6BA9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73-4A65-A71E-102A7C6BA9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21">
                  <c:v>-0.17638878947898615</c:v>
                </c:pt>
                <c:pt idx="22">
                  <c:v>-0.17638878947898615</c:v>
                </c:pt>
                <c:pt idx="23">
                  <c:v>-0.17638878947898615</c:v>
                </c:pt>
                <c:pt idx="24">
                  <c:v>-0.18115596889780075</c:v>
                </c:pt>
                <c:pt idx="25">
                  <c:v>-0.18395920468280794</c:v>
                </c:pt>
                <c:pt idx="26">
                  <c:v>-0.18395920468280794</c:v>
                </c:pt>
                <c:pt idx="27">
                  <c:v>-0.18961603378189429</c:v>
                </c:pt>
                <c:pt idx="28">
                  <c:v>-0.19868038901485163</c:v>
                </c:pt>
                <c:pt idx="29">
                  <c:v>-0.20668723613729731</c:v>
                </c:pt>
                <c:pt idx="30">
                  <c:v>-0.21134530757645595</c:v>
                </c:pt>
                <c:pt idx="31">
                  <c:v>-0.21932697593436559</c:v>
                </c:pt>
                <c:pt idx="32">
                  <c:v>-0.23280600788263364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73-4A65-A71E-102A7C6BA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726480"/>
        <c:axId val="1"/>
      </c:scatterChart>
      <c:valAx>
        <c:axId val="893726480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789777190257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75182481751823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726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56219706113377"/>
          <c:y val="0.91874999999999996"/>
          <c:w val="0.725547905052014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V0528 Mon - O-C Diagr.</a:t>
            </a:r>
          </a:p>
        </c:rich>
      </c:tx>
      <c:layout>
        <c:manualLayout>
          <c:xMode val="edge"/>
          <c:yMode val="edge"/>
          <c:x val="0.36661466458658348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8549141965679"/>
          <c:y val="0.14953316519776211"/>
          <c:w val="0.81435257410296413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59-4AEE-961C-EE24B59F84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-7.3303999997733627E-3</c:v>
                </c:pt>
                <c:pt idx="1">
                  <c:v>-8.0211999957100488E-3</c:v>
                </c:pt>
                <c:pt idx="2">
                  <c:v>-4.5580999976664316E-3</c:v>
                </c:pt>
                <c:pt idx="3">
                  <c:v>-5.1620999984152149E-3</c:v>
                </c:pt>
                <c:pt idx="4">
                  <c:v>-7.6609999814536422E-4</c:v>
                </c:pt>
                <c:pt idx="5">
                  <c:v>-3.9464999936171807E-3</c:v>
                </c:pt>
                <c:pt idx="6">
                  <c:v>4.2749999993247911E-3</c:v>
                </c:pt>
                <c:pt idx="7">
                  <c:v>7.9193000055965967E-3</c:v>
                </c:pt>
                <c:pt idx="8">
                  <c:v>-1.1147799996251706E-2</c:v>
                </c:pt>
                <c:pt idx="9">
                  <c:v>1.2315300002228469E-2</c:v>
                </c:pt>
                <c:pt idx="10">
                  <c:v>1.131540000642417E-2</c:v>
                </c:pt>
                <c:pt idx="12">
                  <c:v>3.0000000042491592E-3</c:v>
                </c:pt>
                <c:pt idx="13">
                  <c:v>4.1744999980437569E-3</c:v>
                </c:pt>
                <c:pt idx="14">
                  <c:v>1.1012000031769276E-3</c:v>
                </c:pt>
                <c:pt idx="15">
                  <c:v>7.3564000049373135E-3</c:v>
                </c:pt>
                <c:pt idx="16">
                  <c:v>4.8261999982059933E-3</c:v>
                </c:pt>
                <c:pt idx="17">
                  <c:v>6.0006999992765486E-3</c:v>
                </c:pt>
                <c:pt idx="18">
                  <c:v>-6.9923999981256202E-3</c:v>
                </c:pt>
                <c:pt idx="19">
                  <c:v>-1.737410000350792E-2</c:v>
                </c:pt>
                <c:pt idx="22">
                  <c:v>-0.17719759999454254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59-4AEE-961C-EE24B59F84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1">
                  <c:v>-0.17719759999454254</c:v>
                </c:pt>
                <c:pt idx="23">
                  <c:v>-0.17719759999454254</c:v>
                </c:pt>
                <c:pt idx="24">
                  <c:v>-0.17258599999331636</c:v>
                </c:pt>
                <c:pt idx="25">
                  <c:v>-0.18795769999996992</c:v>
                </c:pt>
                <c:pt idx="26">
                  <c:v>-0.18795769999996992</c:v>
                </c:pt>
                <c:pt idx="27">
                  <c:v>-0.18709639999724459</c:v>
                </c:pt>
                <c:pt idx="28">
                  <c:v>-0.20055039999715518</c:v>
                </c:pt>
                <c:pt idx="29">
                  <c:v>-0.20670309999695746</c:v>
                </c:pt>
                <c:pt idx="31">
                  <c:v>-0.21972339999774704</c:v>
                </c:pt>
                <c:pt idx="32">
                  <c:v>-0.23199870000098599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59-4AEE-961C-EE24B59F84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59-4AEE-961C-EE24B59F84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59-4AEE-961C-EE24B59F84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59-4AEE-961C-EE24B59F84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21">
                    <c:v>4.0000000000000002E-4</c:v>
                  </c:pt>
                  <c:pt idx="23">
                    <c:v>4.0000000000000002E-4</c:v>
                  </c:pt>
                  <c:pt idx="24">
                    <c:v>5.0000000000000001E-3</c:v>
                  </c:pt>
                  <c:pt idx="25">
                    <c:v>5.1999999999999998E-3</c:v>
                  </c:pt>
                  <c:pt idx="26">
                    <c:v>5.1999999999999998E-3</c:v>
                  </c:pt>
                  <c:pt idx="27">
                    <c:v>0</c:v>
                  </c:pt>
                  <c:pt idx="28">
                    <c:v>1E-4</c:v>
                  </c:pt>
                  <c:pt idx="29">
                    <c:v>4.0000000000000002E-4</c:v>
                  </c:pt>
                  <c:pt idx="30">
                    <c:v>1.9E-3</c:v>
                  </c:pt>
                  <c:pt idx="31">
                    <c:v>1.1000000000000001E-3</c:v>
                  </c:pt>
                  <c:pt idx="3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59-4AEE-961C-EE24B59F84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21">
                  <c:v>-0.17638878947898615</c:v>
                </c:pt>
                <c:pt idx="22">
                  <c:v>-0.17638878947898615</c:v>
                </c:pt>
                <c:pt idx="23">
                  <c:v>-0.17638878947898615</c:v>
                </c:pt>
                <c:pt idx="24">
                  <c:v>-0.18115596889780075</c:v>
                </c:pt>
                <c:pt idx="25">
                  <c:v>-0.18395920468280794</c:v>
                </c:pt>
                <c:pt idx="26">
                  <c:v>-0.18395920468280794</c:v>
                </c:pt>
                <c:pt idx="27">
                  <c:v>-0.18961603378189429</c:v>
                </c:pt>
                <c:pt idx="28">
                  <c:v>-0.19868038901485163</c:v>
                </c:pt>
                <c:pt idx="29">
                  <c:v>-0.20668723613729731</c:v>
                </c:pt>
                <c:pt idx="30">
                  <c:v>-0.21134530757645595</c:v>
                </c:pt>
                <c:pt idx="31">
                  <c:v>-0.21932697593436559</c:v>
                </c:pt>
                <c:pt idx="32">
                  <c:v>-0.23280600788263364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59-4AEE-961C-EE24B59F842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-2296</c:v>
                </c:pt>
                <c:pt idx="1">
                  <c:v>-1588</c:v>
                </c:pt>
                <c:pt idx="2">
                  <c:v>-1569</c:v>
                </c:pt>
                <c:pt idx="3">
                  <c:v>-1529</c:v>
                </c:pt>
                <c:pt idx="4">
                  <c:v>-1489</c:v>
                </c:pt>
                <c:pt idx="5">
                  <c:v>-285</c:v>
                </c:pt>
                <c:pt idx="6">
                  <c:v>-250</c:v>
                </c:pt>
                <c:pt idx="7">
                  <c:v>-243</c:v>
                </c:pt>
                <c:pt idx="8">
                  <c:v>-222</c:v>
                </c:pt>
                <c:pt idx="9">
                  <c:v>-203</c:v>
                </c:pt>
                <c:pt idx="10">
                  <c:v>-54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788</c:v>
                </c:pt>
                <c:pt idx="15">
                  <c:v>1036</c:v>
                </c:pt>
                <c:pt idx="16">
                  <c:v>1038</c:v>
                </c:pt>
                <c:pt idx="17">
                  <c:v>1043</c:v>
                </c:pt>
                <c:pt idx="18">
                  <c:v>1324</c:v>
                </c:pt>
                <c:pt idx="19">
                  <c:v>2591</c:v>
                </c:pt>
                <c:pt idx="20">
                  <c:v>11764</c:v>
                </c:pt>
                <c:pt idx="21">
                  <c:v>12576</c:v>
                </c:pt>
                <c:pt idx="22">
                  <c:v>12576</c:v>
                </c:pt>
                <c:pt idx="23">
                  <c:v>12576</c:v>
                </c:pt>
                <c:pt idx="24">
                  <c:v>12860</c:v>
                </c:pt>
                <c:pt idx="25">
                  <c:v>13027</c:v>
                </c:pt>
                <c:pt idx="26">
                  <c:v>13027</c:v>
                </c:pt>
                <c:pt idx="27">
                  <c:v>13364</c:v>
                </c:pt>
                <c:pt idx="28">
                  <c:v>13904</c:v>
                </c:pt>
                <c:pt idx="29">
                  <c:v>14381</c:v>
                </c:pt>
                <c:pt idx="30">
                  <c:v>14658.5</c:v>
                </c:pt>
                <c:pt idx="31">
                  <c:v>15134</c:v>
                </c:pt>
                <c:pt idx="32">
                  <c:v>15937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20">
                  <c:v>1.0763600002974272E-2</c:v>
                </c:pt>
                <c:pt idx="30">
                  <c:v>-0.2378183499968145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59-4AEE-961C-EE24B59F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835928"/>
        <c:axId val="1"/>
      </c:scatterChart>
      <c:valAx>
        <c:axId val="892835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8096723868957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21996879875197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835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764430577223089"/>
          <c:y val="0.91900605882208652"/>
          <c:w val="0.8736349453978158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17</xdr:col>
      <xdr:colOff>352425</xdr:colOff>
      <xdr:row>18</xdr:row>
      <xdr:rowOff>47624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B46F197-7556-42F1-F4A4-F3D234498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447676</xdr:colOff>
      <xdr:row>0</xdr:row>
      <xdr:rowOff>0</xdr:rowOff>
    </xdr:from>
    <xdr:to>
      <xdr:col>27</xdr:col>
      <xdr:colOff>104776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E5553B1-7231-A1AC-6B2D-DBF569431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209" TargetMode="External"/><Relationship Id="rId2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bav-astro.de/sfs/BAVM_link.php?BAVMnr=117" TargetMode="External"/><Relationship Id="rId6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5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style="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175</v>
      </c>
    </row>
    <row r="2" spans="1:7" x14ac:dyDescent="0.2">
      <c r="A2" t="s">
        <v>24</v>
      </c>
      <c r="B2" s="10" t="s">
        <v>30</v>
      </c>
    </row>
    <row r="4" spans="1:7" x14ac:dyDescent="0.2">
      <c r="A4" s="7" t="s">
        <v>0</v>
      </c>
      <c r="C4" s="3">
        <v>33294.381999999998</v>
      </c>
      <c r="D4" s="4">
        <v>1.4237651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33294.381999999998</v>
      </c>
    </row>
    <row r="8" spans="1:7" x14ac:dyDescent="0.2">
      <c r="A8" t="s">
        <v>3</v>
      </c>
      <c r="C8">
        <f>+D4</f>
        <v>1.4237651</v>
      </c>
    </row>
    <row r="9" spans="1:7" x14ac:dyDescent="0.2">
      <c r="A9" s="18" t="s">
        <v>38</v>
      </c>
      <c r="B9" s="17"/>
      <c r="C9" s="19">
        <v>-9.5</v>
      </c>
      <c r="D9" s="17" t="s">
        <v>39</v>
      </c>
      <c r="E9" s="17"/>
    </row>
    <row r="10" spans="1:7" ht="13.5" thickBot="1" x14ac:dyDescent="0.25">
      <c r="A10" s="17"/>
      <c r="B10" s="17"/>
      <c r="C10" s="6" t="s">
        <v>20</v>
      </c>
      <c r="D10" s="6" t="s">
        <v>21</v>
      </c>
      <c r="E10" s="17"/>
    </row>
    <row r="11" spans="1:7" x14ac:dyDescent="0.2">
      <c r="A11" s="17" t="s">
        <v>16</v>
      </c>
      <c r="B11" s="17"/>
      <c r="C11" s="37">
        <f ca="1">INTERCEPT(INDIRECT($G$11):G992,INDIRECT($F$11):F992)</f>
        <v>3.4709972390776195E-2</v>
      </c>
      <c r="D11" s="5"/>
      <c r="E11" s="17"/>
      <c r="F11" s="38" t="str">
        <f>"F"&amp;E19</f>
        <v>F42</v>
      </c>
      <c r="G11" s="12" t="str">
        <f>"G"&amp;E19</f>
        <v>G42</v>
      </c>
    </row>
    <row r="12" spans="1:7" x14ac:dyDescent="0.2">
      <c r="A12" s="17" t="s">
        <v>17</v>
      </c>
      <c r="B12" s="17"/>
      <c r="C12" s="37">
        <f ca="1">SLOPE(INDIRECT($G$11):G992,INDIRECT($F$11):F992)</f>
        <v>-1.6785843023995097E-5</v>
      </c>
      <c r="D12" s="5"/>
      <c r="E12" s="17"/>
    </row>
    <row r="13" spans="1:7" x14ac:dyDescent="0.2">
      <c r="A13" s="17" t="s">
        <v>19</v>
      </c>
      <c r="B13" s="17"/>
      <c r="C13" s="5" t="s">
        <v>14</v>
      </c>
      <c r="D13" s="22" t="s">
        <v>47</v>
      </c>
      <c r="E13" s="19">
        <v>1</v>
      </c>
    </row>
    <row r="14" spans="1:7" x14ac:dyDescent="0.2">
      <c r="A14" s="17"/>
      <c r="B14" s="17"/>
      <c r="C14" s="17"/>
      <c r="D14" s="22" t="s">
        <v>40</v>
      </c>
      <c r="E14" s="23">
        <f ca="1">NOW()+15018.5+$C$9/24</f>
        <v>60365.703968171292</v>
      </c>
    </row>
    <row r="15" spans="1:7" x14ac:dyDescent="0.2">
      <c r="A15" s="20" t="s">
        <v>18</v>
      </c>
      <c r="B15" s="17"/>
      <c r="C15" s="21">
        <f ca="1">(C7+C11)+(C8+C12)*INT(MAX(F21:F3533))</f>
        <v>55984.693592692114</v>
      </c>
      <c r="D15" s="22" t="s">
        <v>48</v>
      </c>
      <c r="E15" s="23">
        <f ca="1">ROUND(2*(E14-$C$7)/$C$8,0)/2+E13</f>
        <v>19015</v>
      </c>
    </row>
    <row r="16" spans="1:7" x14ac:dyDescent="0.2">
      <c r="A16" s="24" t="s">
        <v>4</v>
      </c>
      <c r="B16" s="17"/>
      <c r="C16" s="25">
        <f ca="1">+C8+C12</f>
        <v>1.423748314156976</v>
      </c>
      <c r="D16" s="22" t="s">
        <v>41</v>
      </c>
      <c r="E16" s="12">
        <f ca="1">ROUND(2*(E14-$C$15)/$C$16,0)/2+E13</f>
        <v>3078</v>
      </c>
    </row>
    <row r="17" spans="1:18" ht="13.5" thickBot="1" x14ac:dyDescent="0.25">
      <c r="A17" s="22" t="s">
        <v>36</v>
      </c>
      <c r="B17" s="17"/>
      <c r="C17" s="17">
        <f>COUNT(C21:C2191)</f>
        <v>33</v>
      </c>
      <c r="D17" s="22" t="s">
        <v>42</v>
      </c>
      <c r="E17" s="26">
        <f ca="1">+$C$15+$C$16*E16-15018.5-$C$9/24</f>
        <v>45348.886737000619</v>
      </c>
    </row>
    <row r="18" spans="1:18" x14ac:dyDescent="0.2">
      <c r="A18" s="24" t="s">
        <v>5</v>
      </c>
      <c r="B18" s="17"/>
      <c r="C18" s="27">
        <f ca="1">+C15</f>
        <v>55984.693592692114</v>
      </c>
      <c r="D18" s="28">
        <f ca="1">+C16</f>
        <v>1.423748314156976</v>
      </c>
      <c r="E18" s="29" t="s">
        <v>43</v>
      </c>
    </row>
    <row r="19" spans="1:18" ht="13.5" thickTop="1" x14ac:dyDescent="0.2">
      <c r="A19" s="39" t="s">
        <v>44</v>
      </c>
      <c r="B19"/>
      <c r="E19" s="40">
        <v>42</v>
      </c>
    </row>
    <row r="20" spans="1:18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176</v>
      </c>
      <c r="J20" s="9" t="s">
        <v>55</v>
      </c>
      <c r="K20" s="9" t="s">
        <v>174</v>
      </c>
      <c r="L20" s="9" t="s">
        <v>173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  <c r="R20" s="52" t="s">
        <v>52</v>
      </c>
    </row>
    <row r="21" spans="1:18" x14ac:dyDescent="0.2">
      <c r="A21" s="13" t="s">
        <v>33</v>
      </c>
      <c r="C21" s="30">
        <v>30025.41</v>
      </c>
      <c r="D21" s="30"/>
      <c r="E21">
        <f>+(C21-C$7)/C$8</f>
        <v>-2296.0051486021098</v>
      </c>
      <c r="F21">
        <f>ROUND(2*E21,0)/2</f>
        <v>-2296</v>
      </c>
      <c r="G21">
        <f>+C21-(C$7+F21*C$8)</f>
        <v>-7.3303999997733627E-3</v>
      </c>
      <c r="I21">
        <f>G21</f>
        <v>-7.3303999997733627E-3</v>
      </c>
      <c r="Q21" s="2">
        <f>+C21-15018.5</f>
        <v>15006.91</v>
      </c>
      <c r="R21" s="53"/>
    </row>
    <row r="22" spans="1:18" x14ac:dyDescent="0.2">
      <c r="A22" s="14" t="s">
        <v>33</v>
      </c>
      <c r="C22" s="30">
        <v>31033.435000000001</v>
      </c>
      <c r="D22" s="30"/>
      <c r="E22">
        <f>+(C22-C$7)/C$8</f>
        <v>-1588.0056337945048</v>
      </c>
      <c r="F22">
        <f>ROUND(2*E22,0)/2</f>
        <v>-1588</v>
      </c>
      <c r="G22">
        <f>+C22-(C$7+F22*C$8)</f>
        <v>-8.0211999957100488E-3</v>
      </c>
      <c r="I22">
        <f>G22</f>
        <v>-8.0211999957100488E-3</v>
      </c>
      <c r="Q22" s="2">
        <f>+C22-15018.5</f>
        <v>16014.935000000001</v>
      </c>
      <c r="R22" s="53"/>
    </row>
    <row r="23" spans="1:18" x14ac:dyDescent="0.2">
      <c r="A23" s="14" t="s">
        <v>33</v>
      </c>
      <c r="C23" s="30">
        <v>31060.49</v>
      </c>
      <c r="D23" s="30"/>
      <c r="E23">
        <f>+(C23-C$7)/C$8</f>
        <v>-1569.0032014410215</v>
      </c>
      <c r="F23">
        <f>ROUND(2*E23,0)/2</f>
        <v>-1569</v>
      </c>
      <c r="G23">
        <f>+C23-(C$7+F23*C$8)</f>
        <v>-4.5580999976664316E-3</v>
      </c>
      <c r="I23">
        <f>G23</f>
        <v>-4.5580999976664316E-3</v>
      </c>
      <c r="Q23" s="2">
        <f>+C23-15018.5</f>
        <v>16041.990000000002</v>
      </c>
      <c r="R23" s="53"/>
    </row>
    <row r="24" spans="1:18" x14ac:dyDescent="0.2">
      <c r="A24" s="14" t="s">
        <v>33</v>
      </c>
      <c r="C24" s="30">
        <v>31117.439999999999</v>
      </c>
      <c r="D24" s="30"/>
      <c r="E24">
        <f>+(C24-C$7)/C$8</f>
        <v>-1529.0036256683065</v>
      </c>
      <c r="F24">
        <f>ROUND(2*E24,0)/2</f>
        <v>-1529</v>
      </c>
      <c r="G24">
        <f>+C24-(C$7+F24*C$8)</f>
        <v>-5.1620999984152149E-3</v>
      </c>
      <c r="I24">
        <f>G24</f>
        <v>-5.1620999984152149E-3</v>
      </c>
      <c r="Q24" s="2">
        <f>+C24-15018.5</f>
        <v>16098.939999999999</v>
      </c>
      <c r="R24" s="53"/>
    </row>
    <row r="25" spans="1:18" x14ac:dyDescent="0.2">
      <c r="A25" s="14" t="s">
        <v>33</v>
      </c>
      <c r="C25" s="30">
        <v>31174.395</v>
      </c>
      <c r="D25" s="30"/>
      <c r="E25">
        <f>+(C25-C$7)/C$8</f>
        <v>-1489.0005380803318</v>
      </c>
      <c r="F25">
        <f>ROUND(2*E25,0)/2</f>
        <v>-1489</v>
      </c>
      <c r="G25">
        <f>+C25-(C$7+F25*C$8)</f>
        <v>-7.6609999814536422E-4</v>
      </c>
      <c r="I25">
        <f>G25</f>
        <v>-7.6609999814536422E-4</v>
      </c>
      <c r="Q25" s="2">
        <f>+C25-15018.5</f>
        <v>16155.895</v>
      </c>
      <c r="R25" s="53"/>
    </row>
    <row r="26" spans="1:18" x14ac:dyDescent="0.2">
      <c r="A26" s="14" t="s">
        <v>33</v>
      </c>
      <c r="C26" s="30">
        <v>32888.605000000003</v>
      </c>
      <c r="D26" s="30"/>
      <c r="E26">
        <f>+(C26-C$7)/C$8</f>
        <v>-285.00277187577825</v>
      </c>
      <c r="F26">
        <f>ROUND(2*E26,0)/2</f>
        <v>-285</v>
      </c>
      <c r="G26">
        <f>+C26-(C$7+F26*C$8)</f>
        <v>-3.9464999936171807E-3</v>
      </c>
      <c r="I26">
        <f>G26</f>
        <v>-3.9464999936171807E-3</v>
      </c>
      <c r="Q26" s="2">
        <f>+C26-15018.5</f>
        <v>17870.105000000003</v>
      </c>
      <c r="R26" s="53"/>
    </row>
    <row r="27" spans="1:18" x14ac:dyDescent="0.2">
      <c r="A27" s="14" t="s">
        <v>33</v>
      </c>
      <c r="C27" s="30">
        <v>32938.445</v>
      </c>
      <c r="D27" s="30"/>
      <c r="E27">
        <f>+(C27-C$7)/C$8</f>
        <v>-249.99699739795426</v>
      </c>
      <c r="F27">
        <f>ROUND(2*E27,0)/2</f>
        <v>-250</v>
      </c>
      <c r="G27">
        <f>+C27-(C$7+F27*C$8)</f>
        <v>4.2749999993247911E-3</v>
      </c>
      <c r="I27">
        <f>G27</f>
        <v>4.2749999993247911E-3</v>
      </c>
      <c r="Q27" s="2">
        <f>+C27-15018.5</f>
        <v>17919.945</v>
      </c>
      <c r="R27" s="53"/>
    </row>
    <row r="28" spans="1:18" x14ac:dyDescent="0.2">
      <c r="A28" s="14" t="s">
        <v>33</v>
      </c>
      <c r="C28" s="30">
        <v>32948.415000000001</v>
      </c>
      <c r="D28" s="30"/>
      <c r="E28">
        <f>+(C28-C$7)/C$8</f>
        <v>-242.99443777628551</v>
      </c>
      <c r="F28">
        <f>ROUND(2*E28,0)/2</f>
        <v>-243</v>
      </c>
      <c r="G28">
        <f>+C28-(C$7+F28*C$8)</f>
        <v>7.9193000055965967E-3</v>
      </c>
      <c r="I28">
        <f>G28</f>
        <v>7.9193000055965967E-3</v>
      </c>
      <c r="Q28" s="2">
        <f>+C28-15018.5</f>
        <v>17929.915000000001</v>
      </c>
      <c r="R28" s="53"/>
    </row>
    <row r="29" spans="1:18" x14ac:dyDescent="0.2">
      <c r="A29" s="14" t="s">
        <v>33</v>
      </c>
      <c r="C29" s="30">
        <v>32978.294999999998</v>
      </c>
      <c r="D29" s="30"/>
      <c r="E29">
        <f>+(C29-C$7)/C$8</f>
        <v>-222.00782980282318</v>
      </c>
      <c r="F29">
        <f>ROUND(2*E29,0)/2</f>
        <v>-222</v>
      </c>
      <c r="G29">
        <f>+C29-(C$7+F29*C$8)</f>
        <v>-1.1147799996251706E-2</v>
      </c>
      <c r="I29">
        <f>G29</f>
        <v>-1.1147799996251706E-2</v>
      </c>
      <c r="Q29" s="2">
        <f>+C29-15018.5</f>
        <v>17959.794999999998</v>
      </c>
      <c r="R29" s="53"/>
    </row>
    <row r="30" spans="1:18" x14ac:dyDescent="0.2">
      <c r="A30" s="14" t="s">
        <v>33</v>
      </c>
      <c r="C30" s="30">
        <v>33005.370000000003</v>
      </c>
      <c r="D30" s="30"/>
      <c r="E30">
        <f>+(C30-C$7)/C$8</f>
        <v>-202.99135018831066</v>
      </c>
      <c r="F30">
        <f>ROUND(2*E30,0)/2</f>
        <v>-203</v>
      </c>
      <c r="G30">
        <f>+C30-(C$7+F30*C$8)</f>
        <v>1.2315300002228469E-2</v>
      </c>
      <c r="I30">
        <f>G30</f>
        <v>1.2315300002228469E-2</v>
      </c>
      <c r="Q30" s="2">
        <f>+C30-15018.5</f>
        <v>17986.870000000003</v>
      </c>
      <c r="R30" s="53"/>
    </row>
    <row r="31" spans="1:18" x14ac:dyDescent="0.2">
      <c r="A31" s="14" t="s">
        <v>33</v>
      </c>
      <c r="C31" s="30">
        <v>33217.51</v>
      </c>
      <c r="D31" s="30"/>
      <c r="E31">
        <f>+(C31-C$7)/C$8</f>
        <v>-53.992052481126102</v>
      </c>
      <c r="F31">
        <f>ROUND(2*E31,0)/2</f>
        <v>-54</v>
      </c>
      <c r="G31">
        <f>+C31-(C$7+F31*C$8)</f>
        <v>1.131540000642417E-2</v>
      </c>
      <c r="I31">
        <f>G31</f>
        <v>1.131540000642417E-2</v>
      </c>
      <c r="Q31" s="2">
        <f>+C31-15018.5</f>
        <v>18199.010000000002</v>
      </c>
      <c r="R31" s="53"/>
    </row>
    <row r="32" spans="1:18" x14ac:dyDescent="0.2">
      <c r="A32" s="14" t="s">
        <v>12</v>
      </c>
      <c r="C32" s="30">
        <v>33294.381999999998</v>
      </c>
      <c r="D32" s="30" t="s">
        <v>14</v>
      </c>
      <c r="E32">
        <f>+(C32-C$7)/C$8</f>
        <v>0</v>
      </c>
      <c r="F32">
        <f>ROUND(2*E32,0)/2</f>
        <v>0</v>
      </c>
      <c r="G32">
        <f>+C32-(C$7+F32*C$8)</f>
        <v>0</v>
      </c>
      <c r="H32">
        <f>+G32</f>
        <v>0</v>
      </c>
      <c r="Q32" s="2">
        <f>+C32-15018.5</f>
        <v>18275.881999999998</v>
      </c>
      <c r="R32" s="53"/>
    </row>
    <row r="33" spans="1:18" x14ac:dyDescent="0.2">
      <c r="A33" s="14" t="s">
        <v>33</v>
      </c>
      <c r="C33" s="30">
        <v>33294.385000000002</v>
      </c>
      <c r="D33" s="30"/>
      <c r="E33">
        <f>+(C33-C$7)/C$8</f>
        <v>2.1070891569467177E-3</v>
      </c>
      <c r="F33">
        <f>ROUND(2*E33,0)/2</f>
        <v>0</v>
      </c>
      <c r="G33">
        <f>+C33-(C$7+F33*C$8)</f>
        <v>3.0000000042491592E-3</v>
      </c>
      <c r="I33">
        <f>G33</f>
        <v>3.0000000042491592E-3</v>
      </c>
      <c r="Q33" s="2">
        <f>+C33-15018.5</f>
        <v>18275.885000000002</v>
      </c>
      <c r="R33" s="53"/>
    </row>
    <row r="34" spans="1:18" x14ac:dyDescent="0.2">
      <c r="A34" s="14" t="s">
        <v>33</v>
      </c>
      <c r="C34" s="30">
        <v>33301.504999999997</v>
      </c>
      <c r="D34" s="30"/>
      <c r="E34">
        <f>+(C34-C$7)/C$8</f>
        <v>5.0029320145574525</v>
      </c>
      <c r="F34">
        <f>ROUND(2*E34,0)/2</f>
        <v>5</v>
      </c>
      <c r="G34">
        <f>+C34-(C$7+F34*C$8)</f>
        <v>4.1744999980437569E-3</v>
      </c>
      <c r="I34">
        <f>G34</f>
        <v>4.1744999980437569E-3</v>
      </c>
      <c r="Q34" s="2">
        <f>+C34-15018.5</f>
        <v>18283.004999999997</v>
      </c>
      <c r="R34" s="53"/>
    </row>
    <row r="35" spans="1:18" x14ac:dyDescent="0.2">
      <c r="A35" s="14" t="s">
        <v>33</v>
      </c>
      <c r="C35" s="30">
        <v>34416.31</v>
      </c>
      <c r="D35" s="30"/>
      <c r="E35">
        <f>+(C35-C$7)/C$8</f>
        <v>788.00077344219198</v>
      </c>
      <c r="F35">
        <f>ROUND(2*E35,0)/2</f>
        <v>788</v>
      </c>
      <c r="G35">
        <f>+C35-(C$7+F35*C$8)</f>
        <v>1.1012000031769276E-3</v>
      </c>
      <c r="I35">
        <f>G35</f>
        <v>1.1012000031769276E-3</v>
      </c>
      <c r="Q35" s="2">
        <f>+C35-15018.5</f>
        <v>19397.809999999998</v>
      </c>
      <c r="R35" s="53"/>
    </row>
    <row r="36" spans="1:18" x14ac:dyDescent="0.2">
      <c r="A36" s="14" t="s">
        <v>33</v>
      </c>
      <c r="C36" s="30">
        <v>34769.410000000003</v>
      </c>
      <c r="D36" s="30"/>
      <c r="E36">
        <f>+(C36-C$7)/C$8</f>
        <v>1036.0051668635547</v>
      </c>
      <c r="F36">
        <f>ROUND(2*E36,0)/2</f>
        <v>1036</v>
      </c>
      <c r="G36">
        <f>+C36-(C$7+F36*C$8)</f>
        <v>7.3564000049373135E-3</v>
      </c>
      <c r="I36">
        <f>G36</f>
        <v>7.3564000049373135E-3</v>
      </c>
      <c r="Q36" s="2">
        <f>+C36-15018.5</f>
        <v>19750.910000000003</v>
      </c>
      <c r="R36" s="53"/>
    </row>
    <row r="37" spans="1:18" x14ac:dyDescent="0.2">
      <c r="A37" s="14" t="s">
        <v>33</v>
      </c>
      <c r="C37" s="30">
        <v>34772.254999999997</v>
      </c>
      <c r="D37" s="30"/>
      <c r="E37">
        <f>+(C37-C$7)/C$8</f>
        <v>1038.003389744558</v>
      </c>
      <c r="F37">
        <f>ROUND(2*E37,0)/2</f>
        <v>1038</v>
      </c>
      <c r="G37">
        <f>+C37-(C$7+F37*C$8)</f>
        <v>4.8261999982059933E-3</v>
      </c>
      <c r="I37">
        <f>G37</f>
        <v>4.8261999982059933E-3</v>
      </c>
      <c r="Q37" s="2">
        <f>+C37-15018.5</f>
        <v>19753.754999999997</v>
      </c>
      <c r="R37" s="53"/>
    </row>
    <row r="38" spans="1:18" x14ac:dyDescent="0.2">
      <c r="A38" s="14" t="s">
        <v>33</v>
      </c>
      <c r="C38" s="30">
        <v>34779.375</v>
      </c>
      <c r="D38" s="30"/>
      <c r="E38">
        <f>+(C38-C$7)/C$8</f>
        <v>1043.0042146699636</v>
      </c>
      <c r="F38">
        <f>ROUND(2*E38,0)/2</f>
        <v>1043</v>
      </c>
      <c r="G38">
        <f>+C38-(C$7+F38*C$8)</f>
        <v>6.0006999992765486E-3</v>
      </c>
      <c r="I38">
        <f>G38</f>
        <v>6.0006999992765486E-3</v>
      </c>
      <c r="Q38" s="2">
        <f>+C38-15018.5</f>
        <v>19760.875</v>
      </c>
      <c r="R38" s="53"/>
    </row>
    <row r="39" spans="1:18" x14ac:dyDescent="0.2">
      <c r="A39" s="14" t="s">
        <v>33</v>
      </c>
      <c r="C39" s="30">
        <v>35179.440000000002</v>
      </c>
      <c r="D39" s="30"/>
      <c r="E39">
        <f>+(C39-C$7)/C$8</f>
        <v>1323.9950887966031</v>
      </c>
      <c r="F39">
        <f>ROUND(2*E39,0)/2</f>
        <v>1324</v>
      </c>
      <c r="G39">
        <f>+C39-(C$7+F39*C$8)</f>
        <v>-6.9923999981256202E-3</v>
      </c>
      <c r="I39">
        <f>G39</f>
        <v>-6.9923999981256202E-3</v>
      </c>
      <c r="Q39" s="2">
        <f>+C39-15018.5</f>
        <v>20160.940000000002</v>
      </c>
      <c r="R39" s="53"/>
    </row>
    <row r="40" spans="1:18" x14ac:dyDescent="0.2">
      <c r="A40" s="14" t="s">
        <v>33</v>
      </c>
      <c r="C40" s="30">
        <v>36983.339999999997</v>
      </c>
      <c r="D40" s="30"/>
      <c r="E40">
        <f>+(C40-C$7)/C$8</f>
        <v>2590.987797074109</v>
      </c>
      <c r="F40">
        <f>ROUND(2*E40,0)/2</f>
        <v>2591</v>
      </c>
      <c r="G40">
        <f>+C40-(C$7+F40*C$8)</f>
        <v>-1.737410000350792E-2</v>
      </c>
      <c r="I40">
        <f>G40</f>
        <v>-1.737410000350792E-2</v>
      </c>
      <c r="Q40" s="2">
        <f>+C40-15018.5</f>
        <v>21964.839999999997</v>
      </c>
      <c r="R40" s="53"/>
    </row>
    <row r="41" spans="1:18" x14ac:dyDescent="0.2">
      <c r="A41" s="14" t="s">
        <v>34</v>
      </c>
      <c r="C41" s="31">
        <v>50043.565399999999</v>
      </c>
      <c r="D41" s="30"/>
      <c r="E41">
        <f>+(C41-C$7)/C$8</f>
        <v>11764.00755995494</v>
      </c>
      <c r="F41">
        <f>ROUND(2*E41,0)/2</f>
        <v>11764</v>
      </c>
      <c r="Q41" s="2">
        <f>+C41-15018.5</f>
        <v>35025.065399999999</v>
      </c>
      <c r="R41" s="53">
        <v>1.0763600002974272E-2</v>
      </c>
    </row>
    <row r="42" spans="1:18" x14ac:dyDescent="0.2">
      <c r="A42" s="14" t="s">
        <v>27</v>
      </c>
      <c r="B42" s="5" t="s">
        <v>28</v>
      </c>
      <c r="C42" s="30">
        <v>51199.474699999999</v>
      </c>
      <c r="D42" s="30">
        <v>4.0000000000000002E-4</v>
      </c>
      <c r="E42">
        <f>+(C42-C$7)/C$8</f>
        <v>12575.875542952977</v>
      </c>
      <c r="F42">
        <f>ROUND(2*E42,0)/2</f>
        <v>12576</v>
      </c>
      <c r="G42">
        <f>+C42-(C$7+F42*C$8)</f>
        <v>-0.17719759999454254</v>
      </c>
      <c r="J42">
        <f>G42</f>
        <v>-0.17719759999454254</v>
      </c>
      <c r="O42">
        <f ca="1">+C$11+C$12*F42</f>
        <v>-0.17638878947898615</v>
      </c>
      <c r="Q42" s="2">
        <f>+C42-15018.5</f>
        <v>36180.974699999999</v>
      </c>
      <c r="R42" s="53"/>
    </row>
    <row r="43" spans="1:18" x14ac:dyDescent="0.2">
      <c r="A43" s="14" t="s">
        <v>35</v>
      </c>
      <c r="C43" s="30">
        <v>51199.474699999999</v>
      </c>
      <c r="D43" s="30"/>
      <c r="E43">
        <f>+(C43-C$7)/C$8</f>
        <v>12575.875542952977</v>
      </c>
      <c r="F43">
        <f>ROUND(2*E43,0)/2</f>
        <v>12576</v>
      </c>
      <c r="G43">
        <f>+C43-(C$7+F43*C$8)</f>
        <v>-0.17719759999454254</v>
      </c>
      <c r="I43">
        <f>G43</f>
        <v>-0.17719759999454254</v>
      </c>
      <c r="O43">
        <f ca="1">+C$11+C$12*F43</f>
        <v>-0.17638878947898615</v>
      </c>
      <c r="Q43" s="2">
        <f>+C43-15018.5</f>
        <v>36180.974699999999</v>
      </c>
      <c r="R43" s="53"/>
    </row>
    <row r="44" spans="1:18" x14ac:dyDescent="0.2">
      <c r="A44" s="34" t="s">
        <v>27</v>
      </c>
      <c r="B44" s="35" t="s">
        <v>28</v>
      </c>
      <c r="C44" s="31">
        <v>51199.474699999999</v>
      </c>
      <c r="D44" s="36">
        <v>4.0000000000000002E-4</v>
      </c>
      <c r="E44">
        <f>+(C44-C$7)/C$8</f>
        <v>12575.875542952977</v>
      </c>
      <c r="F44">
        <f>ROUND(2*E44,0)/2</f>
        <v>12576</v>
      </c>
      <c r="J44" s="12">
        <v>-0.17719759999454254</v>
      </c>
      <c r="O44">
        <f ca="1">+C$11+C$12*F44</f>
        <v>-0.17638878947898615</v>
      </c>
      <c r="Q44" s="2">
        <f>+C44-15018.5</f>
        <v>36180.974699999999</v>
      </c>
      <c r="R44" s="53"/>
    </row>
    <row r="45" spans="1:18" x14ac:dyDescent="0.2">
      <c r="A45" s="14" t="s">
        <v>29</v>
      </c>
      <c r="B45" s="5" t="s">
        <v>28</v>
      </c>
      <c r="C45" s="30">
        <v>51603.828600000001</v>
      </c>
      <c r="D45" s="30">
        <v>5.0000000000000001E-3</v>
      </c>
      <c r="E45">
        <f>+(C45-C$7)/C$8</f>
        <v>12859.878781970427</v>
      </c>
      <c r="F45">
        <f>ROUND(2*E45,0)/2</f>
        <v>12860</v>
      </c>
      <c r="G45">
        <f>+C45-(C$7+F45*C$8)</f>
        <v>-0.17258599999331636</v>
      </c>
      <c r="J45">
        <f>G45</f>
        <v>-0.17258599999331636</v>
      </c>
      <c r="O45">
        <f ca="1">+C$11+C$12*F45</f>
        <v>-0.18115596889780075</v>
      </c>
      <c r="Q45" s="2">
        <f>+C45-15018.5</f>
        <v>36585.328600000001</v>
      </c>
      <c r="R45" s="53"/>
    </row>
    <row r="46" spans="1:18" x14ac:dyDescent="0.2">
      <c r="A46" s="15" t="s">
        <v>31</v>
      </c>
      <c r="B46" s="11" t="s">
        <v>28</v>
      </c>
      <c r="C46" s="32">
        <v>51841.582000000002</v>
      </c>
      <c r="D46" s="33">
        <v>5.1999999999999998E-3</v>
      </c>
      <c r="E46">
        <f>+(C46-C$7)/C$8</f>
        <v>13026.867985456312</v>
      </c>
      <c r="F46">
        <f>ROUND(2*E46,0)/2</f>
        <v>13027</v>
      </c>
      <c r="G46">
        <f>+C46-(C$7+F46*C$8)</f>
        <v>-0.18795769999996992</v>
      </c>
      <c r="J46">
        <f>G46</f>
        <v>-0.18795769999996992</v>
      </c>
      <c r="O46">
        <f ca="1">+C$11+C$12*F46</f>
        <v>-0.18395920468280794</v>
      </c>
      <c r="Q46" s="2">
        <f>+C46-15018.5</f>
        <v>36823.082000000002</v>
      </c>
      <c r="R46" s="53"/>
    </row>
    <row r="47" spans="1:18" x14ac:dyDescent="0.2">
      <c r="A47" s="15" t="s">
        <v>31</v>
      </c>
      <c r="B47" s="11" t="s">
        <v>28</v>
      </c>
      <c r="C47" s="32">
        <v>51841.582000000002</v>
      </c>
      <c r="D47" s="32">
        <v>5.1999999999999998E-3</v>
      </c>
      <c r="E47">
        <f>+(C47-C$7)/C$8</f>
        <v>13026.867985456312</v>
      </c>
      <c r="F47">
        <f>ROUND(2*E47,0)/2</f>
        <v>13027</v>
      </c>
      <c r="G47">
        <f>+C47-(C$7+F47*C$8)</f>
        <v>-0.18795769999996992</v>
      </c>
      <c r="J47">
        <f>G47</f>
        <v>-0.18795769999996992</v>
      </c>
      <c r="O47">
        <f ca="1">+C$11+C$12*F47</f>
        <v>-0.18395920468280794</v>
      </c>
      <c r="Q47" s="2">
        <f>+C47-15018.5</f>
        <v>36823.082000000002</v>
      </c>
      <c r="R47" s="53"/>
    </row>
    <row r="48" spans="1:18" x14ac:dyDescent="0.2">
      <c r="A48" s="45" t="s">
        <v>45</v>
      </c>
      <c r="B48" s="46" t="s">
        <v>28</v>
      </c>
      <c r="C48" s="45">
        <v>52321.3917</v>
      </c>
      <c r="D48" s="45" t="s">
        <v>46</v>
      </c>
      <c r="E48">
        <f>+(C48-C$7)/C$8</f>
        <v>13363.868590401606</v>
      </c>
      <c r="F48">
        <f>ROUND(2*E48,0)/2</f>
        <v>13364</v>
      </c>
      <c r="G48">
        <f>+C48-(C$7+F48*C$8)</f>
        <v>-0.18709639999724459</v>
      </c>
      <c r="J48">
        <f>G48</f>
        <v>-0.18709639999724459</v>
      </c>
      <c r="O48">
        <f ca="1">+C$11+C$12*F48</f>
        <v>-0.18961603378189429</v>
      </c>
      <c r="Q48" s="2">
        <f>+C48-15018.5</f>
        <v>37302.8917</v>
      </c>
      <c r="R48" s="53"/>
    </row>
    <row r="49" spans="1:18" x14ac:dyDescent="0.2">
      <c r="A49" s="16" t="s">
        <v>32</v>
      </c>
      <c r="B49" s="41"/>
      <c r="C49" s="42">
        <v>53090.2114</v>
      </c>
      <c r="D49" s="42">
        <v>1E-4</v>
      </c>
      <c r="E49">
        <f>+(C49-C$7)/C$8</f>
        <v>13903.859140809114</v>
      </c>
      <c r="F49">
        <f>ROUND(2*E49,0)/2</f>
        <v>13904</v>
      </c>
      <c r="G49">
        <f>+C49-(C$7+F49*C$8)</f>
        <v>-0.20055039999715518</v>
      </c>
      <c r="J49">
        <f>G49</f>
        <v>-0.20055039999715518</v>
      </c>
      <c r="O49">
        <f ca="1">+C$11+C$12*F49</f>
        <v>-0.19868038901485163</v>
      </c>
      <c r="Q49" s="2">
        <f>+C49-15018.5</f>
        <v>38071.7114</v>
      </c>
      <c r="R49" s="53"/>
    </row>
    <row r="50" spans="1:18" x14ac:dyDescent="0.2">
      <c r="A50" s="43" t="s">
        <v>37</v>
      </c>
      <c r="B50" s="44"/>
      <c r="C50" s="42">
        <v>53769.341200000003</v>
      </c>
      <c r="D50" s="42">
        <v>4.0000000000000002E-4</v>
      </c>
      <c r="E50">
        <f>+(C50-C$7)/C$8</f>
        <v>14380.854819379971</v>
      </c>
      <c r="F50">
        <f>ROUND(2*E50,0)/2</f>
        <v>14381</v>
      </c>
      <c r="G50">
        <f>+C50-(C$7+F50*C$8)</f>
        <v>-0.20670309999695746</v>
      </c>
      <c r="J50">
        <f>G50</f>
        <v>-0.20670309999695746</v>
      </c>
      <c r="O50">
        <f ca="1">+C$11+C$12*F50</f>
        <v>-0.20668723613729731</v>
      </c>
      <c r="Q50" s="2">
        <f>+C50-15018.5</f>
        <v>38750.841200000003</v>
      </c>
      <c r="R50" s="53"/>
    </row>
    <row r="51" spans="1:18" x14ac:dyDescent="0.2">
      <c r="A51" s="50" t="s">
        <v>51</v>
      </c>
      <c r="B51" s="50"/>
      <c r="C51" s="51">
        <v>54164.404900000001</v>
      </c>
      <c r="D51" s="51">
        <v>1.9E-3</v>
      </c>
      <c r="E51">
        <f>+(C51-C$7)/C$8</f>
        <v>14658.332965178037</v>
      </c>
      <c r="F51">
        <f>ROUND(2*E51,0)/2</f>
        <v>14658.5</v>
      </c>
      <c r="O51">
        <f ca="1">+C$11+C$12*F51</f>
        <v>-0.21134530757645595</v>
      </c>
      <c r="Q51" s="2">
        <f>+C51-15018.5</f>
        <v>39145.904900000001</v>
      </c>
      <c r="R51" s="53">
        <f>+C51-(C$7+F51*C$8)</f>
        <v>-0.2378183499968145</v>
      </c>
    </row>
    <row r="52" spans="1:18" x14ac:dyDescent="0.2">
      <c r="A52" s="16" t="s">
        <v>49</v>
      </c>
      <c r="B52" s="47" t="s">
        <v>28</v>
      </c>
      <c r="C52" s="16">
        <v>54841.423300000002</v>
      </c>
      <c r="D52" s="16">
        <v>1.1000000000000001E-3</v>
      </c>
      <c r="E52">
        <f>+(C52-C$7)/C$8</f>
        <v>15133.845674402333</v>
      </c>
      <c r="F52">
        <f>ROUND(2*E52,0)/2</f>
        <v>15134</v>
      </c>
      <c r="G52">
        <f>+C52-(C$7+F52*C$8)</f>
        <v>-0.21972339999774704</v>
      </c>
      <c r="J52">
        <f>G52</f>
        <v>-0.21972339999774704</v>
      </c>
      <c r="O52">
        <f ca="1">+C$11+C$12*F52</f>
        <v>-0.21932697593436559</v>
      </c>
      <c r="Q52" s="2">
        <f>+C52-15018.5</f>
        <v>39822.923300000002</v>
      </c>
      <c r="R52" s="53"/>
    </row>
    <row r="53" spans="1:18" x14ac:dyDescent="0.2">
      <c r="A53" s="48" t="s">
        <v>50</v>
      </c>
      <c r="B53" s="49" t="s">
        <v>28</v>
      </c>
      <c r="C53" s="48">
        <v>55984.6944</v>
      </c>
      <c r="D53" s="48">
        <v>5.9999999999999995E-4</v>
      </c>
      <c r="E53">
        <f>+(C53-C$7)/C$8</f>
        <v>15936.837052685167</v>
      </c>
      <c r="F53">
        <f>ROUND(2*E53,0)/2</f>
        <v>15937</v>
      </c>
      <c r="G53">
        <f>+C53-(C$7+F53*C$8)</f>
        <v>-0.23199870000098599</v>
      </c>
      <c r="J53">
        <f>G53</f>
        <v>-0.23199870000098599</v>
      </c>
      <c r="O53">
        <f ca="1">+C$11+C$12*F53</f>
        <v>-0.23280600788263364</v>
      </c>
      <c r="Q53" s="2">
        <f>+C53-15018.5</f>
        <v>40966.1944</v>
      </c>
      <c r="R53" s="53"/>
    </row>
    <row r="54" spans="1:18" x14ac:dyDescent="0.2">
      <c r="A54" s="14"/>
      <c r="C54" s="30"/>
      <c r="D54" s="30"/>
      <c r="R54" s="53"/>
    </row>
    <row r="55" spans="1:18" x14ac:dyDescent="0.2">
      <c r="A55" s="14"/>
      <c r="C55" s="30"/>
      <c r="D55" s="30"/>
      <c r="R55" s="53"/>
    </row>
    <row r="56" spans="1:18" x14ac:dyDescent="0.2">
      <c r="A56" s="14"/>
      <c r="C56" s="30"/>
      <c r="D56" s="30"/>
      <c r="R56" s="53"/>
    </row>
    <row r="57" spans="1:18" x14ac:dyDescent="0.2">
      <c r="A57" s="14"/>
      <c r="C57" s="30"/>
      <c r="D57" s="30"/>
      <c r="R57" s="53"/>
    </row>
    <row r="58" spans="1:18" x14ac:dyDescent="0.2">
      <c r="A58" s="14"/>
      <c r="C58" s="30"/>
      <c r="D58" s="30"/>
      <c r="R58" s="53"/>
    </row>
    <row r="59" spans="1:18" x14ac:dyDescent="0.2">
      <c r="A59" s="14"/>
      <c r="C59" s="30"/>
      <c r="D59" s="30"/>
      <c r="R59" s="53"/>
    </row>
    <row r="60" spans="1:18" x14ac:dyDescent="0.2">
      <c r="A60" s="14"/>
      <c r="C60" s="30"/>
      <c r="D60" s="30"/>
      <c r="R60" s="53"/>
    </row>
    <row r="61" spans="1:18" x14ac:dyDescent="0.2">
      <c r="A61" s="14"/>
      <c r="C61" s="30"/>
      <c r="D61" s="30"/>
      <c r="R61" s="53"/>
    </row>
    <row r="62" spans="1:18" x14ac:dyDescent="0.2">
      <c r="A62" s="14"/>
      <c r="C62" s="30"/>
      <c r="D62" s="30"/>
      <c r="R62" s="53"/>
    </row>
    <row r="63" spans="1:18" x14ac:dyDescent="0.2">
      <c r="A63" s="14"/>
      <c r="C63" s="30"/>
      <c r="D63" s="30"/>
      <c r="R63" s="53"/>
    </row>
    <row r="64" spans="1:18" x14ac:dyDescent="0.2">
      <c r="A64" s="14"/>
      <c r="C64" s="30"/>
      <c r="D64" s="30"/>
      <c r="R64" s="53"/>
    </row>
    <row r="65" spans="1:18" x14ac:dyDescent="0.2">
      <c r="A65" s="14"/>
      <c r="C65" s="30"/>
      <c r="D65" s="30"/>
      <c r="R65" s="53"/>
    </row>
    <row r="66" spans="1:18" x14ac:dyDescent="0.2">
      <c r="A66" s="14"/>
      <c r="C66" s="30"/>
      <c r="D66" s="30"/>
      <c r="R66" s="53"/>
    </row>
    <row r="67" spans="1:18" x14ac:dyDescent="0.2">
      <c r="A67" s="14"/>
      <c r="C67" s="30"/>
      <c r="D67" s="30"/>
      <c r="R67" s="53"/>
    </row>
    <row r="68" spans="1:18" x14ac:dyDescent="0.2">
      <c r="A68" s="14"/>
      <c r="C68" s="30"/>
      <c r="D68" s="30"/>
      <c r="R68" s="53"/>
    </row>
    <row r="69" spans="1:18" x14ac:dyDescent="0.2">
      <c r="A69" s="14"/>
      <c r="C69" s="30"/>
      <c r="D69" s="30"/>
      <c r="R69" s="53"/>
    </row>
    <row r="70" spans="1:18" x14ac:dyDescent="0.2">
      <c r="A70" s="14"/>
      <c r="C70" s="30"/>
      <c r="D70" s="30"/>
      <c r="R70" s="53"/>
    </row>
    <row r="71" spans="1:18" x14ac:dyDescent="0.2">
      <c r="A71" s="14"/>
      <c r="C71" s="30"/>
      <c r="D71" s="30"/>
      <c r="R71" s="53"/>
    </row>
    <row r="72" spans="1:18" x14ac:dyDescent="0.2">
      <c r="A72" s="14"/>
      <c r="C72" s="30"/>
      <c r="D72" s="30"/>
      <c r="R72" s="53"/>
    </row>
    <row r="73" spans="1:18" x14ac:dyDescent="0.2">
      <c r="A73" s="14"/>
      <c r="C73" s="30"/>
      <c r="D73" s="30"/>
      <c r="R73" s="53"/>
    </row>
    <row r="74" spans="1:18" x14ac:dyDescent="0.2">
      <c r="A74" s="14"/>
      <c r="C74" s="30"/>
      <c r="D74" s="30"/>
      <c r="R74" s="53"/>
    </row>
    <row r="75" spans="1:18" x14ac:dyDescent="0.2">
      <c r="A75" s="14"/>
      <c r="C75" s="30"/>
      <c r="D75" s="30"/>
      <c r="R75" s="53"/>
    </row>
    <row r="76" spans="1:18" x14ac:dyDescent="0.2">
      <c r="A76" s="14"/>
      <c r="C76" s="30"/>
      <c r="D76" s="30"/>
      <c r="R76" s="53"/>
    </row>
    <row r="77" spans="1:18" x14ac:dyDescent="0.2">
      <c r="A77" s="14"/>
      <c r="C77" s="30"/>
      <c r="D77" s="30"/>
      <c r="R77" s="53"/>
    </row>
    <row r="78" spans="1:18" x14ac:dyDescent="0.2">
      <c r="A78" s="14"/>
      <c r="C78" s="30"/>
      <c r="D78" s="30"/>
      <c r="R78" s="53"/>
    </row>
    <row r="79" spans="1:18" x14ac:dyDescent="0.2">
      <c r="A79" s="14"/>
      <c r="C79" s="30"/>
      <c r="D79" s="30"/>
      <c r="R79" s="53"/>
    </row>
    <row r="80" spans="1:18" x14ac:dyDescent="0.2">
      <c r="A80" s="14"/>
      <c r="C80" s="30"/>
      <c r="D80" s="30"/>
      <c r="R80" s="53"/>
    </row>
    <row r="81" spans="1:18" x14ac:dyDescent="0.2">
      <c r="A81" s="14"/>
      <c r="C81" s="30"/>
      <c r="D81" s="30"/>
      <c r="R81" s="53"/>
    </row>
    <row r="82" spans="1:18" x14ac:dyDescent="0.2">
      <c r="C82" s="30"/>
      <c r="D82" s="30"/>
      <c r="R82" s="53"/>
    </row>
    <row r="83" spans="1:18" x14ac:dyDescent="0.2">
      <c r="C83" s="30"/>
      <c r="D83" s="30"/>
      <c r="R83" s="53"/>
    </row>
    <row r="84" spans="1:18" x14ac:dyDescent="0.2">
      <c r="C84" s="30"/>
      <c r="D84" s="30"/>
      <c r="R84" s="53"/>
    </row>
    <row r="85" spans="1:18" x14ac:dyDescent="0.2">
      <c r="C85" s="30"/>
      <c r="D85" s="30"/>
      <c r="R85" s="53"/>
    </row>
    <row r="86" spans="1:18" x14ac:dyDescent="0.2">
      <c r="C86" s="30"/>
      <c r="D86" s="30"/>
      <c r="R86" s="53"/>
    </row>
    <row r="87" spans="1:18" x14ac:dyDescent="0.2">
      <c r="C87" s="30"/>
      <c r="D87" s="30"/>
      <c r="R87" s="53"/>
    </row>
    <row r="88" spans="1:18" x14ac:dyDescent="0.2">
      <c r="C88" s="30"/>
      <c r="D88" s="30"/>
      <c r="R88" s="53"/>
    </row>
    <row r="89" spans="1:18" x14ac:dyDescent="0.2">
      <c r="C89" s="30"/>
      <c r="D89" s="30"/>
      <c r="R89" s="53"/>
    </row>
    <row r="90" spans="1:18" x14ac:dyDescent="0.2">
      <c r="C90" s="30"/>
      <c r="D90" s="30"/>
      <c r="R90" s="53"/>
    </row>
    <row r="91" spans="1:18" x14ac:dyDescent="0.2">
      <c r="C91" s="30"/>
      <c r="D91" s="30"/>
      <c r="R91" s="53"/>
    </row>
    <row r="92" spans="1:18" x14ac:dyDescent="0.2">
      <c r="C92" s="30"/>
      <c r="D92" s="30"/>
      <c r="R92" s="53"/>
    </row>
    <row r="93" spans="1:18" x14ac:dyDescent="0.2">
      <c r="C93" s="30"/>
      <c r="D93" s="30"/>
      <c r="R93" s="53"/>
    </row>
    <row r="94" spans="1:18" x14ac:dyDescent="0.2">
      <c r="C94" s="30"/>
      <c r="D94" s="30"/>
      <c r="R94" s="53"/>
    </row>
    <row r="95" spans="1:18" x14ac:dyDescent="0.2">
      <c r="C95" s="30"/>
      <c r="D95" s="30"/>
      <c r="R95" s="53"/>
    </row>
    <row r="96" spans="1:18" x14ac:dyDescent="0.2">
      <c r="C96" s="30"/>
      <c r="D96" s="30"/>
      <c r="R96" s="53"/>
    </row>
    <row r="97" spans="3:18" x14ac:dyDescent="0.2">
      <c r="C97" s="30"/>
      <c r="D97" s="30"/>
      <c r="R97" s="53"/>
    </row>
    <row r="98" spans="3:18" x14ac:dyDescent="0.2">
      <c r="C98" s="30"/>
      <c r="D98" s="30"/>
      <c r="R98" s="53"/>
    </row>
    <row r="99" spans="3:18" x14ac:dyDescent="0.2">
      <c r="C99" s="30"/>
      <c r="D99" s="30"/>
      <c r="R99" s="53"/>
    </row>
    <row r="100" spans="3:18" x14ac:dyDescent="0.2">
      <c r="C100" s="30"/>
      <c r="D100" s="30"/>
      <c r="R100" s="53"/>
    </row>
    <row r="101" spans="3:18" x14ac:dyDescent="0.2">
      <c r="C101" s="30"/>
      <c r="D101" s="30"/>
      <c r="R101" s="53"/>
    </row>
    <row r="102" spans="3:18" x14ac:dyDescent="0.2">
      <c r="C102" s="30"/>
      <c r="D102" s="30"/>
      <c r="R102" s="53"/>
    </row>
    <row r="103" spans="3:18" x14ac:dyDescent="0.2">
      <c r="C103" s="30"/>
      <c r="D103" s="30"/>
      <c r="R103" s="53"/>
    </row>
    <row r="104" spans="3:18" x14ac:dyDescent="0.2">
      <c r="C104" s="30"/>
      <c r="D104" s="30"/>
      <c r="R104" s="53"/>
    </row>
    <row r="105" spans="3:18" x14ac:dyDescent="0.2">
      <c r="C105" s="30"/>
      <c r="D105" s="30"/>
      <c r="R105" s="53"/>
    </row>
    <row r="106" spans="3:18" x14ac:dyDescent="0.2">
      <c r="C106" s="30"/>
      <c r="D106" s="30"/>
      <c r="R106" s="53"/>
    </row>
    <row r="107" spans="3:18" x14ac:dyDescent="0.2">
      <c r="C107" s="30"/>
      <c r="D107" s="30"/>
      <c r="R107" s="53"/>
    </row>
    <row r="108" spans="3:18" x14ac:dyDescent="0.2">
      <c r="C108" s="30"/>
      <c r="D108" s="30"/>
      <c r="R108" s="53"/>
    </row>
    <row r="109" spans="3:18" x14ac:dyDescent="0.2">
      <c r="C109" s="30"/>
      <c r="D109" s="30"/>
      <c r="R109" s="53"/>
    </row>
    <row r="110" spans="3:18" x14ac:dyDescent="0.2">
      <c r="C110" s="30"/>
      <c r="D110" s="30"/>
      <c r="R110" s="53"/>
    </row>
    <row r="111" spans="3:18" x14ac:dyDescent="0.2">
      <c r="C111" s="30"/>
      <c r="D111" s="30"/>
      <c r="R111" s="53"/>
    </row>
    <row r="112" spans="3:18" x14ac:dyDescent="0.2">
      <c r="C112" s="30"/>
      <c r="D112" s="30"/>
      <c r="R112" s="53"/>
    </row>
    <row r="113" spans="3:18" x14ac:dyDescent="0.2">
      <c r="C113" s="30"/>
      <c r="D113" s="30"/>
      <c r="R113" s="53"/>
    </row>
    <row r="114" spans="3:18" x14ac:dyDescent="0.2">
      <c r="C114" s="30"/>
      <c r="D114" s="30"/>
      <c r="R114" s="53"/>
    </row>
    <row r="115" spans="3:18" x14ac:dyDescent="0.2">
      <c r="C115" s="30"/>
      <c r="D115" s="30"/>
      <c r="R115" s="53"/>
    </row>
    <row r="116" spans="3:18" x14ac:dyDescent="0.2">
      <c r="C116" s="30"/>
      <c r="D116" s="30"/>
      <c r="R116" s="53"/>
    </row>
    <row r="117" spans="3:18" x14ac:dyDescent="0.2">
      <c r="C117" s="30"/>
      <c r="D117" s="30"/>
      <c r="R117" s="53"/>
    </row>
    <row r="118" spans="3:18" x14ac:dyDescent="0.2">
      <c r="C118" s="30"/>
      <c r="D118" s="30"/>
      <c r="R118" s="53"/>
    </row>
    <row r="119" spans="3:18" x14ac:dyDescent="0.2">
      <c r="C119" s="30"/>
      <c r="D119" s="30"/>
      <c r="R119" s="53"/>
    </row>
    <row r="120" spans="3:18" x14ac:dyDescent="0.2">
      <c r="C120" s="30"/>
      <c r="D120" s="30"/>
      <c r="R120" s="53"/>
    </row>
    <row r="121" spans="3:18" x14ac:dyDescent="0.2">
      <c r="C121" s="30"/>
      <c r="D121" s="30"/>
      <c r="R121" s="53"/>
    </row>
    <row r="122" spans="3:18" x14ac:dyDescent="0.2">
      <c r="C122" s="30"/>
      <c r="D122" s="30"/>
      <c r="R122" s="53"/>
    </row>
    <row r="123" spans="3:18" x14ac:dyDescent="0.2">
      <c r="C123" s="30"/>
      <c r="D123" s="30"/>
      <c r="R123" s="53"/>
    </row>
    <row r="124" spans="3:18" x14ac:dyDescent="0.2">
      <c r="C124" s="30"/>
      <c r="D124" s="30"/>
      <c r="R124" s="53"/>
    </row>
    <row r="125" spans="3:18" x14ac:dyDescent="0.2">
      <c r="C125" s="30"/>
      <c r="D125" s="30"/>
      <c r="R125" s="53"/>
    </row>
    <row r="126" spans="3:18" x14ac:dyDescent="0.2">
      <c r="C126" s="30"/>
      <c r="D126" s="30"/>
      <c r="R126" s="53"/>
    </row>
    <row r="127" spans="3:18" x14ac:dyDescent="0.2">
      <c r="C127" s="30"/>
      <c r="D127" s="30"/>
      <c r="R127" s="53"/>
    </row>
    <row r="128" spans="3:18" x14ac:dyDescent="0.2">
      <c r="C128" s="30"/>
      <c r="D128" s="30"/>
      <c r="R128" s="53"/>
    </row>
    <row r="129" spans="3:18" x14ac:dyDescent="0.2">
      <c r="C129" s="30"/>
      <c r="D129" s="30"/>
      <c r="R129" s="53"/>
    </row>
    <row r="130" spans="3:18" x14ac:dyDescent="0.2">
      <c r="C130" s="30"/>
      <c r="D130" s="30"/>
      <c r="R130" s="53"/>
    </row>
    <row r="131" spans="3:18" x14ac:dyDescent="0.2">
      <c r="C131" s="30"/>
      <c r="D131" s="30"/>
      <c r="R131" s="53"/>
    </row>
    <row r="132" spans="3:18" x14ac:dyDescent="0.2">
      <c r="C132" s="30"/>
      <c r="D132" s="30"/>
      <c r="R132" s="53"/>
    </row>
    <row r="133" spans="3:18" x14ac:dyDescent="0.2">
      <c r="C133" s="30"/>
      <c r="D133" s="30"/>
      <c r="R133" s="53"/>
    </row>
    <row r="134" spans="3:18" x14ac:dyDescent="0.2">
      <c r="C134" s="30"/>
      <c r="D134" s="30"/>
      <c r="R134" s="53"/>
    </row>
    <row r="135" spans="3:18" x14ac:dyDescent="0.2">
      <c r="C135" s="30"/>
      <c r="D135" s="30"/>
      <c r="R135" s="53"/>
    </row>
    <row r="136" spans="3:18" x14ac:dyDescent="0.2">
      <c r="C136" s="30"/>
      <c r="D136" s="30"/>
      <c r="R136" s="53"/>
    </row>
    <row r="137" spans="3:18" x14ac:dyDescent="0.2">
      <c r="C137" s="30"/>
      <c r="D137" s="30"/>
      <c r="R137" s="53"/>
    </row>
    <row r="138" spans="3:18" x14ac:dyDescent="0.2">
      <c r="C138" s="30"/>
      <c r="D138" s="30"/>
      <c r="R138" s="53"/>
    </row>
    <row r="139" spans="3:18" x14ac:dyDescent="0.2">
      <c r="C139" s="30"/>
      <c r="D139" s="30"/>
      <c r="R139" s="53"/>
    </row>
    <row r="140" spans="3:18" x14ac:dyDescent="0.2">
      <c r="C140" s="30"/>
      <c r="D140" s="30"/>
      <c r="R140" s="53"/>
    </row>
    <row r="141" spans="3:18" x14ac:dyDescent="0.2">
      <c r="C141" s="30"/>
      <c r="D141" s="30"/>
      <c r="R141" s="53"/>
    </row>
    <row r="142" spans="3:18" x14ac:dyDescent="0.2">
      <c r="C142" s="30"/>
      <c r="D142" s="30"/>
      <c r="R142" s="53"/>
    </row>
    <row r="143" spans="3:18" x14ac:dyDescent="0.2">
      <c r="C143" s="30"/>
      <c r="D143" s="30"/>
      <c r="R143" s="53"/>
    </row>
    <row r="144" spans="3:18" x14ac:dyDescent="0.2">
      <c r="C144" s="30"/>
      <c r="D144" s="30"/>
      <c r="R144" s="53"/>
    </row>
    <row r="145" spans="3:18" x14ac:dyDescent="0.2">
      <c r="C145" s="30"/>
      <c r="D145" s="30"/>
      <c r="R145" s="53"/>
    </row>
    <row r="146" spans="3:18" x14ac:dyDescent="0.2">
      <c r="C146" s="30"/>
      <c r="D146" s="30"/>
      <c r="R146" s="53"/>
    </row>
    <row r="147" spans="3:18" x14ac:dyDescent="0.2">
      <c r="C147" s="30"/>
      <c r="D147" s="30"/>
      <c r="R147" s="53"/>
    </row>
    <row r="148" spans="3:18" x14ac:dyDescent="0.2">
      <c r="C148" s="30"/>
      <c r="D148" s="30"/>
    </row>
    <row r="149" spans="3:18" x14ac:dyDescent="0.2">
      <c r="C149" s="30"/>
      <c r="D149" s="30"/>
    </row>
    <row r="150" spans="3:18" x14ac:dyDescent="0.2">
      <c r="C150" s="30"/>
      <c r="D150" s="30"/>
    </row>
    <row r="151" spans="3:18" x14ac:dyDescent="0.2">
      <c r="C151" s="30"/>
      <c r="D151" s="30"/>
    </row>
    <row r="152" spans="3:18" x14ac:dyDescent="0.2">
      <c r="C152" s="30"/>
      <c r="D152" s="30"/>
    </row>
    <row r="153" spans="3:18" x14ac:dyDescent="0.2">
      <c r="C153" s="30"/>
      <c r="D153" s="30"/>
    </row>
  </sheetData>
  <sortState xmlns:xlrd2="http://schemas.microsoft.com/office/spreadsheetml/2017/richdata2" ref="A21:Z66">
    <sortCondition ref="C21:C66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4"/>
  <sheetViews>
    <sheetView workbookViewId="0">
      <selection activeCell="A11" sqref="A11:IV448"/>
    </sheetView>
  </sheetViews>
  <sheetFormatPr defaultRowHeight="12.75" x14ac:dyDescent="0.2"/>
  <cols>
    <col min="1" max="1" width="19.7109375" style="30" customWidth="1"/>
    <col min="2" max="2" width="4.42578125" style="17" customWidth="1"/>
    <col min="3" max="3" width="12.7109375" style="30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30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54" t="s">
        <v>53</v>
      </c>
      <c r="I1" s="55" t="s">
        <v>54</v>
      </c>
      <c r="J1" s="56" t="s">
        <v>55</v>
      </c>
    </row>
    <row r="2" spans="1:16" x14ac:dyDescent="0.2">
      <c r="I2" s="57" t="s">
        <v>56</v>
      </c>
      <c r="J2" s="58" t="s">
        <v>57</v>
      </c>
    </row>
    <row r="3" spans="1:16" x14ac:dyDescent="0.2">
      <c r="A3" s="59" t="s">
        <v>58</v>
      </c>
      <c r="I3" s="57" t="s">
        <v>59</v>
      </c>
      <c r="J3" s="58" t="s">
        <v>60</v>
      </c>
    </row>
    <row r="4" spans="1:16" x14ac:dyDescent="0.2">
      <c r="I4" s="57" t="s">
        <v>61</v>
      </c>
      <c r="J4" s="58" t="s">
        <v>60</v>
      </c>
    </row>
    <row r="5" spans="1:16" ht="13.5" thickBot="1" x14ac:dyDescent="0.25">
      <c r="I5" s="60" t="s">
        <v>62</v>
      </c>
      <c r="J5" s="61" t="s">
        <v>63</v>
      </c>
    </row>
    <row r="10" spans="1:16" ht="13.5" thickBot="1" x14ac:dyDescent="0.25"/>
    <row r="11" spans="1:16" ht="12.75" customHeight="1" thickBot="1" x14ac:dyDescent="0.25">
      <c r="A11" s="30" t="str">
        <f t="shared" ref="A11:A38" si="0">P11</f>
        <v> AHSB 7.7.375 </v>
      </c>
      <c r="B11" s="5" t="str">
        <f t="shared" ref="B11:B38" si="1">IF(H11=INT(H11),"I","II")</f>
        <v>I</v>
      </c>
      <c r="C11" s="30">
        <f t="shared" ref="C11:C38" si="2">1*G11</f>
        <v>30025.41</v>
      </c>
      <c r="D11" s="17" t="str">
        <f t="shared" ref="D11:D38" si="3">VLOOKUP(F11,I$1:J$5,2,FALSE)</f>
        <v>vis</v>
      </c>
      <c r="E11" s="62">
        <f>VLOOKUP(C11,Active!C$21:E$973,3,FALSE)</f>
        <v>-2296.0051486021098</v>
      </c>
      <c r="F11" s="5" t="s">
        <v>62</v>
      </c>
      <c r="G11" s="17" t="str">
        <f t="shared" ref="G11:G38" si="4">MID(I11,3,LEN(I11)-3)</f>
        <v>30025.410</v>
      </c>
      <c r="H11" s="30">
        <f t="shared" ref="H11:H38" si="5">1*K11</f>
        <v>-2296</v>
      </c>
      <c r="I11" s="63" t="s">
        <v>64</v>
      </c>
      <c r="J11" s="64" t="s">
        <v>65</v>
      </c>
      <c r="K11" s="63">
        <v>-2296</v>
      </c>
      <c r="L11" s="63" t="s">
        <v>66</v>
      </c>
      <c r="M11" s="64" t="s">
        <v>67</v>
      </c>
      <c r="N11" s="64"/>
      <c r="O11" s="65" t="s">
        <v>68</v>
      </c>
      <c r="P11" s="65" t="s">
        <v>69</v>
      </c>
    </row>
    <row r="12" spans="1:16" ht="12.75" customHeight="1" thickBot="1" x14ac:dyDescent="0.25">
      <c r="A12" s="30" t="str">
        <f t="shared" si="0"/>
        <v> AHSB 7.7.375 </v>
      </c>
      <c r="B12" s="5" t="str">
        <f t="shared" si="1"/>
        <v>I</v>
      </c>
      <c r="C12" s="30">
        <f t="shared" si="2"/>
        <v>31033.435000000001</v>
      </c>
      <c r="D12" s="17" t="str">
        <f t="shared" si="3"/>
        <v>vis</v>
      </c>
      <c r="E12" s="62">
        <f>VLOOKUP(C12,Active!C$21:E$973,3,FALSE)</f>
        <v>-1588.0056337945048</v>
      </c>
      <c r="F12" s="5" t="s">
        <v>62</v>
      </c>
      <c r="G12" s="17" t="str">
        <f t="shared" si="4"/>
        <v>31033.435</v>
      </c>
      <c r="H12" s="30">
        <f t="shared" si="5"/>
        <v>-1588</v>
      </c>
      <c r="I12" s="63" t="s">
        <v>70</v>
      </c>
      <c r="J12" s="64" t="s">
        <v>71</v>
      </c>
      <c r="K12" s="63">
        <v>-1588</v>
      </c>
      <c r="L12" s="63" t="s">
        <v>72</v>
      </c>
      <c r="M12" s="64" t="s">
        <v>67</v>
      </c>
      <c r="N12" s="64"/>
      <c r="O12" s="65" t="s">
        <v>68</v>
      </c>
      <c r="P12" s="65" t="s">
        <v>69</v>
      </c>
    </row>
    <row r="13" spans="1:16" ht="12.75" customHeight="1" thickBot="1" x14ac:dyDescent="0.25">
      <c r="A13" s="30" t="str">
        <f t="shared" si="0"/>
        <v> AHSB 7.7.375 </v>
      </c>
      <c r="B13" s="5" t="str">
        <f t="shared" si="1"/>
        <v>I</v>
      </c>
      <c r="C13" s="30">
        <f t="shared" si="2"/>
        <v>31060.49</v>
      </c>
      <c r="D13" s="17" t="str">
        <f t="shared" si="3"/>
        <v>vis</v>
      </c>
      <c r="E13" s="62">
        <f>VLOOKUP(C13,Active!C$21:E$973,3,FALSE)</f>
        <v>-1569.0032014410215</v>
      </c>
      <c r="F13" s="5" t="s">
        <v>62</v>
      </c>
      <c r="G13" s="17" t="str">
        <f t="shared" si="4"/>
        <v>31060.490</v>
      </c>
      <c r="H13" s="30">
        <f t="shared" si="5"/>
        <v>-1569</v>
      </c>
      <c r="I13" s="63" t="s">
        <v>73</v>
      </c>
      <c r="J13" s="64" t="s">
        <v>74</v>
      </c>
      <c r="K13" s="63">
        <v>-1569</v>
      </c>
      <c r="L13" s="63" t="s">
        <v>75</v>
      </c>
      <c r="M13" s="64" t="s">
        <v>67</v>
      </c>
      <c r="N13" s="64"/>
      <c r="O13" s="65" t="s">
        <v>68</v>
      </c>
      <c r="P13" s="65" t="s">
        <v>69</v>
      </c>
    </row>
    <row r="14" spans="1:16" ht="12.75" customHeight="1" thickBot="1" x14ac:dyDescent="0.25">
      <c r="A14" s="30" t="str">
        <f t="shared" si="0"/>
        <v> AHSB 7.7.375 </v>
      </c>
      <c r="B14" s="5" t="str">
        <f t="shared" si="1"/>
        <v>I</v>
      </c>
      <c r="C14" s="30">
        <f t="shared" si="2"/>
        <v>31117.439999999999</v>
      </c>
      <c r="D14" s="17" t="str">
        <f t="shared" si="3"/>
        <v>vis</v>
      </c>
      <c r="E14" s="62">
        <f>VLOOKUP(C14,Active!C$21:E$973,3,FALSE)</f>
        <v>-1529.0036256683065</v>
      </c>
      <c r="F14" s="5" t="s">
        <v>62</v>
      </c>
      <c r="G14" s="17" t="str">
        <f t="shared" si="4"/>
        <v>31117.440</v>
      </c>
      <c r="H14" s="30">
        <f t="shared" si="5"/>
        <v>-1529</v>
      </c>
      <c r="I14" s="63" t="s">
        <v>76</v>
      </c>
      <c r="J14" s="64" t="s">
        <v>77</v>
      </c>
      <c r="K14" s="63">
        <v>-1529</v>
      </c>
      <c r="L14" s="63" t="s">
        <v>75</v>
      </c>
      <c r="M14" s="64" t="s">
        <v>67</v>
      </c>
      <c r="N14" s="64"/>
      <c r="O14" s="65" t="s">
        <v>68</v>
      </c>
      <c r="P14" s="65" t="s">
        <v>69</v>
      </c>
    </row>
    <row r="15" spans="1:16" ht="12.75" customHeight="1" thickBot="1" x14ac:dyDescent="0.25">
      <c r="A15" s="30" t="str">
        <f t="shared" si="0"/>
        <v> AHSB 7.7.375 </v>
      </c>
      <c r="B15" s="5" t="str">
        <f t="shared" si="1"/>
        <v>I</v>
      </c>
      <c r="C15" s="30">
        <f t="shared" si="2"/>
        <v>31174.395</v>
      </c>
      <c r="D15" s="17" t="str">
        <f t="shared" si="3"/>
        <v>vis</v>
      </c>
      <c r="E15" s="62">
        <f>VLOOKUP(C15,Active!C$21:E$973,3,FALSE)</f>
        <v>-1489.0005380803318</v>
      </c>
      <c r="F15" s="5" t="s">
        <v>62</v>
      </c>
      <c r="G15" s="17" t="str">
        <f t="shared" si="4"/>
        <v>31174.395</v>
      </c>
      <c r="H15" s="30">
        <f t="shared" si="5"/>
        <v>-1489</v>
      </c>
      <c r="I15" s="63" t="s">
        <v>78</v>
      </c>
      <c r="J15" s="64" t="s">
        <v>79</v>
      </c>
      <c r="K15" s="63">
        <v>-1489</v>
      </c>
      <c r="L15" s="63" t="s">
        <v>80</v>
      </c>
      <c r="M15" s="64" t="s">
        <v>67</v>
      </c>
      <c r="N15" s="64"/>
      <c r="O15" s="65" t="s">
        <v>68</v>
      </c>
      <c r="P15" s="65" t="s">
        <v>69</v>
      </c>
    </row>
    <row r="16" spans="1:16" ht="12.75" customHeight="1" thickBot="1" x14ac:dyDescent="0.25">
      <c r="A16" s="30" t="str">
        <f t="shared" si="0"/>
        <v> AHSB 7.7.375 </v>
      </c>
      <c r="B16" s="5" t="str">
        <f t="shared" si="1"/>
        <v>I</v>
      </c>
      <c r="C16" s="30">
        <f t="shared" si="2"/>
        <v>32888.605000000003</v>
      </c>
      <c r="D16" s="17" t="str">
        <f t="shared" si="3"/>
        <v>vis</v>
      </c>
      <c r="E16" s="62">
        <f>VLOOKUP(C16,Active!C$21:E$973,3,FALSE)</f>
        <v>-285.00277187577825</v>
      </c>
      <c r="F16" s="5" t="s">
        <v>62</v>
      </c>
      <c r="G16" s="17" t="str">
        <f t="shared" si="4"/>
        <v>32888.605</v>
      </c>
      <c r="H16" s="30">
        <f t="shared" si="5"/>
        <v>-285</v>
      </c>
      <c r="I16" s="63" t="s">
        <v>81</v>
      </c>
      <c r="J16" s="64" t="s">
        <v>82</v>
      </c>
      <c r="K16" s="63">
        <v>-285</v>
      </c>
      <c r="L16" s="63" t="s">
        <v>83</v>
      </c>
      <c r="M16" s="64" t="s">
        <v>67</v>
      </c>
      <c r="N16" s="64"/>
      <c r="O16" s="65" t="s">
        <v>68</v>
      </c>
      <c r="P16" s="65" t="s">
        <v>69</v>
      </c>
    </row>
    <row r="17" spans="1:16" ht="12.75" customHeight="1" thickBot="1" x14ac:dyDescent="0.25">
      <c r="A17" s="30" t="str">
        <f t="shared" si="0"/>
        <v> AHSB 7.7.375 </v>
      </c>
      <c r="B17" s="5" t="str">
        <f t="shared" si="1"/>
        <v>I</v>
      </c>
      <c r="C17" s="30">
        <f t="shared" si="2"/>
        <v>32938.445</v>
      </c>
      <c r="D17" s="17" t="str">
        <f t="shared" si="3"/>
        <v>vis</v>
      </c>
      <c r="E17" s="62">
        <f>VLOOKUP(C17,Active!C$21:E$973,3,FALSE)</f>
        <v>-249.99699739795426</v>
      </c>
      <c r="F17" s="5" t="s">
        <v>62</v>
      </c>
      <c r="G17" s="17" t="str">
        <f t="shared" si="4"/>
        <v>32938.445</v>
      </c>
      <c r="H17" s="30">
        <f t="shared" si="5"/>
        <v>-250</v>
      </c>
      <c r="I17" s="63" t="s">
        <v>84</v>
      </c>
      <c r="J17" s="64" t="s">
        <v>85</v>
      </c>
      <c r="K17" s="63">
        <v>-250</v>
      </c>
      <c r="L17" s="63" t="s">
        <v>86</v>
      </c>
      <c r="M17" s="64" t="s">
        <v>67</v>
      </c>
      <c r="N17" s="64"/>
      <c r="O17" s="65" t="s">
        <v>68</v>
      </c>
      <c r="P17" s="65" t="s">
        <v>69</v>
      </c>
    </row>
    <row r="18" spans="1:16" ht="12.75" customHeight="1" thickBot="1" x14ac:dyDescent="0.25">
      <c r="A18" s="30" t="str">
        <f t="shared" si="0"/>
        <v> AHSB 7.7.375 </v>
      </c>
      <c r="B18" s="5" t="str">
        <f t="shared" si="1"/>
        <v>I</v>
      </c>
      <c r="C18" s="30">
        <f t="shared" si="2"/>
        <v>32948.415000000001</v>
      </c>
      <c r="D18" s="17" t="str">
        <f t="shared" si="3"/>
        <v>vis</v>
      </c>
      <c r="E18" s="62">
        <f>VLOOKUP(C18,Active!C$21:E$973,3,FALSE)</f>
        <v>-242.99443777628551</v>
      </c>
      <c r="F18" s="5" t="s">
        <v>62</v>
      </c>
      <c r="G18" s="17" t="str">
        <f t="shared" si="4"/>
        <v>32948.415</v>
      </c>
      <c r="H18" s="30">
        <f t="shared" si="5"/>
        <v>-243</v>
      </c>
      <c r="I18" s="63" t="s">
        <v>87</v>
      </c>
      <c r="J18" s="64" t="s">
        <v>88</v>
      </c>
      <c r="K18" s="63">
        <v>-243</v>
      </c>
      <c r="L18" s="63" t="s">
        <v>89</v>
      </c>
      <c r="M18" s="64" t="s">
        <v>67</v>
      </c>
      <c r="N18" s="64"/>
      <c r="O18" s="65" t="s">
        <v>68</v>
      </c>
      <c r="P18" s="65" t="s">
        <v>69</v>
      </c>
    </row>
    <row r="19" spans="1:16" ht="12.75" customHeight="1" thickBot="1" x14ac:dyDescent="0.25">
      <c r="A19" s="30" t="str">
        <f t="shared" si="0"/>
        <v> AHSB 7.7.375 </v>
      </c>
      <c r="B19" s="5" t="str">
        <f t="shared" si="1"/>
        <v>I</v>
      </c>
      <c r="C19" s="30">
        <f t="shared" si="2"/>
        <v>32978.294999999998</v>
      </c>
      <c r="D19" s="17" t="str">
        <f t="shared" si="3"/>
        <v>vis</v>
      </c>
      <c r="E19" s="62">
        <f>VLOOKUP(C19,Active!C$21:E$973,3,FALSE)</f>
        <v>-222.00782980282318</v>
      </c>
      <c r="F19" s="5" t="s">
        <v>62</v>
      </c>
      <c r="G19" s="17" t="str">
        <f t="shared" si="4"/>
        <v>32978.295</v>
      </c>
      <c r="H19" s="30">
        <f t="shared" si="5"/>
        <v>-222</v>
      </c>
      <c r="I19" s="63" t="s">
        <v>90</v>
      </c>
      <c r="J19" s="64" t="s">
        <v>91</v>
      </c>
      <c r="K19" s="63">
        <v>-222</v>
      </c>
      <c r="L19" s="63" t="s">
        <v>92</v>
      </c>
      <c r="M19" s="64" t="s">
        <v>67</v>
      </c>
      <c r="N19" s="64"/>
      <c r="O19" s="65" t="s">
        <v>68</v>
      </c>
      <c r="P19" s="65" t="s">
        <v>69</v>
      </c>
    </row>
    <row r="20" spans="1:16" ht="12.75" customHeight="1" thickBot="1" x14ac:dyDescent="0.25">
      <c r="A20" s="30" t="str">
        <f t="shared" si="0"/>
        <v> AHSB 7.7.375 </v>
      </c>
      <c r="B20" s="5" t="str">
        <f t="shared" si="1"/>
        <v>I</v>
      </c>
      <c r="C20" s="30">
        <f t="shared" si="2"/>
        <v>33005.370000000003</v>
      </c>
      <c r="D20" s="17" t="str">
        <f t="shared" si="3"/>
        <v>vis</v>
      </c>
      <c r="E20" s="62">
        <f>VLOOKUP(C20,Active!C$21:E$973,3,FALSE)</f>
        <v>-202.99135018831066</v>
      </c>
      <c r="F20" s="5" t="s">
        <v>62</v>
      </c>
      <c r="G20" s="17" t="str">
        <f t="shared" si="4"/>
        <v>33005.370</v>
      </c>
      <c r="H20" s="30">
        <f t="shared" si="5"/>
        <v>-203</v>
      </c>
      <c r="I20" s="63" t="s">
        <v>93</v>
      </c>
      <c r="J20" s="64" t="s">
        <v>94</v>
      </c>
      <c r="K20" s="63">
        <v>-203</v>
      </c>
      <c r="L20" s="63" t="s">
        <v>95</v>
      </c>
      <c r="M20" s="64" t="s">
        <v>67</v>
      </c>
      <c r="N20" s="64"/>
      <c r="O20" s="65" t="s">
        <v>68</v>
      </c>
      <c r="P20" s="65" t="s">
        <v>69</v>
      </c>
    </row>
    <row r="21" spans="1:16" ht="12.75" customHeight="1" thickBot="1" x14ac:dyDescent="0.25">
      <c r="A21" s="30" t="str">
        <f t="shared" si="0"/>
        <v> AHSB 7.7.375 </v>
      </c>
      <c r="B21" s="5" t="str">
        <f t="shared" si="1"/>
        <v>I</v>
      </c>
      <c r="C21" s="30">
        <f t="shared" si="2"/>
        <v>33217.51</v>
      </c>
      <c r="D21" s="17" t="str">
        <f t="shared" si="3"/>
        <v>vis</v>
      </c>
      <c r="E21" s="62">
        <f>VLOOKUP(C21,Active!C$21:E$973,3,FALSE)</f>
        <v>-53.992052481126102</v>
      </c>
      <c r="F21" s="5" t="s">
        <v>62</v>
      </c>
      <c r="G21" s="17" t="str">
        <f t="shared" si="4"/>
        <v>33217.510</v>
      </c>
      <c r="H21" s="30">
        <f t="shared" si="5"/>
        <v>-54</v>
      </c>
      <c r="I21" s="63" t="s">
        <v>96</v>
      </c>
      <c r="J21" s="64" t="s">
        <v>97</v>
      </c>
      <c r="K21" s="63">
        <v>-54</v>
      </c>
      <c r="L21" s="63" t="s">
        <v>98</v>
      </c>
      <c r="M21" s="64" t="s">
        <v>67</v>
      </c>
      <c r="N21" s="64"/>
      <c r="O21" s="65" t="s">
        <v>68</v>
      </c>
      <c r="P21" s="65" t="s">
        <v>69</v>
      </c>
    </row>
    <row r="22" spans="1:16" ht="12.75" customHeight="1" thickBot="1" x14ac:dyDescent="0.25">
      <c r="A22" s="30" t="str">
        <f t="shared" si="0"/>
        <v> AHSB 7.7.375 </v>
      </c>
      <c r="B22" s="5" t="str">
        <f t="shared" si="1"/>
        <v>I</v>
      </c>
      <c r="C22" s="30">
        <f t="shared" si="2"/>
        <v>33294.385000000002</v>
      </c>
      <c r="D22" s="17" t="str">
        <f t="shared" si="3"/>
        <v>vis</v>
      </c>
      <c r="E22" s="62">
        <f>VLOOKUP(C22,Active!C$21:E$973,3,FALSE)</f>
        <v>2.1070891569467177E-3</v>
      </c>
      <c r="F22" s="5" t="s">
        <v>62</v>
      </c>
      <c r="G22" s="17" t="str">
        <f t="shared" si="4"/>
        <v>33294.385</v>
      </c>
      <c r="H22" s="30">
        <f t="shared" si="5"/>
        <v>0</v>
      </c>
      <c r="I22" s="63" t="s">
        <v>99</v>
      </c>
      <c r="J22" s="64" t="s">
        <v>100</v>
      </c>
      <c r="K22" s="63">
        <v>0</v>
      </c>
      <c r="L22" s="63" t="s">
        <v>101</v>
      </c>
      <c r="M22" s="64" t="s">
        <v>67</v>
      </c>
      <c r="N22" s="64"/>
      <c r="O22" s="65" t="s">
        <v>68</v>
      </c>
      <c r="P22" s="65" t="s">
        <v>69</v>
      </c>
    </row>
    <row r="23" spans="1:16" ht="12.75" customHeight="1" thickBot="1" x14ac:dyDescent="0.25">
      <c r="A23" s="30" t="str">
        <f t="shared" si="0"/>
        <v> AHSB 7.7.375 </v>
      </c>
      <c r="B23" s="5" t="str">
        <f t="shared" si="1"/>
        <v>I</v>
      </c>
      <c r="C23" s="30">
        <f t="shared" si="2"/>
        <v>33301.504999999997</v>
      </c>
      <c r="D23" s="17" t="str">
        <f t="shared" si="3"/>
        <v>vis</v>
      </c>
      <c r="E23" s="62">
        <f>VLOOKUP(C23,Active!C$21:E$973,3,FALSE)</f>
        <v>5.0029320145574525</v>
      </c>
      <c r="F23" s="5" t="s">
        <v>62</v>
      </c>
      <c r="G23" s="17" t="str">
        <f t="shared" si="4"/>
        <v>33301.505</v>
      </c>
      <c r="H23" s="30">
        <f t="shared" si="5"/>
        <v>5</v>
      </c>
      <c r="I23" s="63" t="s">
        <v>102</v>
      </c>
      <c r="J23" s="64" t="s">
        <v>103</v>
      </c>
      <c r="K23" s="63">
        <v>5</v>
      </c>
      <c r="L23" s="63" t="s">
        <v>86</v>
      </c>
      <c r="M23" s="64" t="s">
        <v>67</v>
      </c>
      <c r="N23" s="64"/>
      <c r="O23" s="65" t="s">
        <v>68</v>
      </c>
      <c r="P23" s="65" t="s">
        <v>69</v>
      </c>
    </row>
    <row r="24" spans="1:16" ht="12.75" customHeight="1" thickBot="1" x14ac:dyDescent="0.25">
      <c r="A24" s="30" t="str">
        <f t="shared" si="0"/>
        <v> AHSB 7.7.375 </v>
      </c>
      <c r="B24" s="5" t="str">
        <f t="shared" si="1"/>
        <v>I</v>
      </c>
      <c r="C24" s="30">
        <f t="shared" si="2"/>
        <v>34416.31</v>
      </c>
      <c r="D24" s="17" t="str">
        <f t="shared" si="3"/>
        <v>vis</v>
      </c>
      <c r="E24" s="62">
        <f>VLOOKUP(C24,Active!C$21:E$973,3,FALSE)</f>
        <v>788.00077344219198</v>
      </c>
      <c r="F24" s="5" t="s">
        <v>62</v>
      </c>
      <c r="G24" s="17" t="str">
        <f t="shared" si="4"/>
        <v>34416.310</v>
      </c>
      <c r="H24" s="30">
        <f t="shared" si="5"/>
        <v>788</v>
      </c>
      <c r="I24" s="63" t="s">
        <v>104</v>
      </c>
      <c r="J24" s="64" t="s">
        <v>105</v>
      </c>
      <c r="K24" s="63">
        <v>788</v>
      </c>
      <c r="L24" s="63" t="s">
        <v>106</v>
      </c>
      <c r="M24" s="64" t="s">
        <v>67</v>
      </c>
      <c r="N24" s="64"/>
      <c r="O24" s="65" t="s">
        <v>68</v>
      </c>
      <c r="P24" s="65" t="s">
        <v>69</v>
      </c>
    </row>
    <row r="25" spans="1:16" ht="12.75" customHeight="1" thickBot="1" x14ac:dyDescent="0.25">
      <c r="A25" s="30" t="str">
        <f t="shared" si="0"/>
        <v> AHSB 7.7.375 </v>
      </c>
      <c r="B25" s="5" t="str">
        <f t="shared" si="1"/>
        <v>I</v>
      </c>
      <c r="C25" s="30">
        <f t="shared" si="2"/>
        <v>34769.410000000003</v>
      </c>
      <c r="D25" s="17" t="str">
        <f t="shared" si="3"/>
        <v>vis</v>
      </c>
      <c r="E25" s="62">
        <f>VLOOKUP(C25,Active!C$21:E$973,3,FALSE)</f>
        <v>1036.0051668635547</v>
      </c>
      <c r="F25" s="5" t="s">
        <v>62</v>
      </c>
      <c r="G25" s="17" t="str">
        <f t="shared" si="4"/>
        <v>34769.410</v>
      </c>
      <c r="H25" s="30">
        <f t="shared" si="5"/>
        <v>1036</v>
      </c>
      <c r="I25" s="63" t="s">
        <v>107</v>
      </c>
      <c r="J25" s="64" t="s">
        <v>108</v>
      </c>
      <c r="K25" s="63">
        <v>1036</v>
      </c>
      <c r="L25" s="63" t="s">
        <v>109</v>
      </c>
      <c r="M25" s="64" t="s">
        <v>67</v>
      </c>
      <c r="N25" s="64"/>
      <c r="O25" s="65" t="s">
        <v>68</v>
      </c>
      <c r="P25" s="65" t="s">
        <v>69</v>
      </c>
    </row>
    <row r="26" spans="1:16" ht="12.75" customHeight="1" thickBot="1" x14ac:dyDescent="0.25">
      <c r="A26" s="30" t="str">
        <f t="shared" si="0"/>
        <v> AHSB 7.7.375 </v>
      </c>
      <c r="B26" s="5" t="str">
        <f t="shared" si="1"/>
        <v>I</v>
      </c>
      <c r="C26" s="30">
        <f t="shared" si="2"/>
        <v>34772.254999999997</v>
      </c>
      <c r="D26" s="17" t="str">
        <f t="shared" si="3"/>
        <v>vis</v>
      </c>
      <c r="E26" s="62">
        <f>VLOOKUP(C26,Active!C$21:E$973,3,FALSE)</f>
        <v>1038.003389744558</v>
      </c>
      <c r="F26" s="5" t="s">
        <v>62</v>
      </c>
      <c r="G26" s="17" t="str">
        <f t="shared" si="4"/>
        <v>34772.255</v>
      </c>
      <c r="H26" s="30">
        <f t="shared" si="5"/>
        <v>1038</v>
      </c>
      <c r="I26" s="63" t="s">
        <v>110</v>
      </c>
      <c r="J26" s="64" t="s">
        <v>111</v>
      </c>
      <c r="K26" s="63">
        <v>1038</v>
      </c>
      <c r="L26" s="63" t="s">
        <v>112</v>
      </c>
      <c r="M26" s="64" t="s">
        <v>67</v>
      </c>
      <c r="N26" s="64"/>
      <c r="O26" s="65" t="s">
        <v>68</v>
      </c>
      <c r="P26" s="65" t="s">
        <v>69</v>
      </c>
    </row>
    <row r="27" spans="1:16" ht="12.75" customHeight="1" thickBot="1" x14ac:dyDescent="0.25">
      <c r="A27" s="30" t="str">
        <f t="shared" si="0"/>
        <v> AHSB 7.7.375 </v>
      </c>
      <c r="B27" s="5" t="str">
        <f t="shared" si="1"/>
        <v>I</v>
      </c>
      <c r="C27" s="30">
        <f t="shared" si="2"/>
        <v>34779.375</v>
      </c>
      <c r="D27" s="17" t="str">
        <f t="shared" si="3"/>
        <v>vis</v>
      </c>
      <c r="E27" s="62">
        <f>VLOOKUP(C27,Active!C$21:E$973,3,FALSE)</f>
        <v>1043.0042146699636</v>
      </c>
      <c r="F27" s="5" t="s">
        <v>62</v>
      </c>
      <c r="G27" s="17" t="str">
        <f t="shared" si="4"/>
        <v>34779.375</v>
      </c>
      <c r="H27" s="30">
        <f t="shared" si="5"/>
        <v>1043</v>
      </c>
      <c r="I27" s="63" t="s">
        <v>113</v>
      </c>
      <c r="J27" s="64" t="s">
        <v>114</v>
      </c>
      <c r="K27" s="63">
        <v>1043</v>
      </c>
      <c r="L27" s="63" t="s">
        <v>115</v>
      </c>
      <c r="M27" s="64" t="s">
        <v>67</v>
      </c>
      <c r="N27" s="64"/>
      <c r="O27" s="65" t="s">
        <v>68</v>
      </c>
      <c r="P27" s="65" t="s">
        <v>69</v>
      </c>
    </row>
    <row r="28" spans="1:16" ht="12.75" customHeight="1" thickBot="1" x14ac:dyDescent="0.25">
      <c r="A28" s="30" t="str">
        <f t="shared" si="0"/>
        <v> AHSB 7.7.375 </v>
      </c>
      <c r="B28" s="5" t="str">
        <f t="shared" si="1"/>
        <v>I</v>
      </c>
      <c r="C28" s="30">
        <f t="shared" si="2"/>
        <v>35179.440000000002</v>
      </c>
      <c r="D28" s="17" t="str">
        <f t="shared" si="3"/>
        <v>vis</v>
      </c>
      <c r="E28" s="62">
        <f>VLOOKUP(C28,Active!C$21:E$973,3,FALSE)</f>
        <v>1323.9950887966031</v>
      </c>
      <c r="F28" s="5" t="s">
        <v>62</v>
      </c>
      <c r="G28" s="17" t="str">
        <f t="shared" si="4"/>
        <v>35179.440</v>
      </c>
      <c r="H28" s="30">
        <f t="shared" si="5"/>
        <v>1324</v>
      </c>
      <c r="I28" s="63" t="s">
        <v>116</v>
      </c>
      <c r="J28" s="64" t="s">
        <v>117</v>
      </c>
      <c r="K28" s="63">
        <v>1324</v>
      </c>
      <c r="L28" s="63" t="s">
        <v>66</v>
      </c>
      <c r="M28" s="64" t="s">
        <v>67</v>
      </c>
      <c r="N28" s="64"/>
      <c r="O28" s="65" t="s">
        <v>68</v>
      </c>
      <c r="P28" s="65" t="s">
        <v>69</v>
      </c>
    </row>
    <row r="29" spans="1:16" ht="12.75" customHeight="1" thickBot="1" x14ac:dyDescent="0.25">
      <c r="A29" s="30" t="str">
        <f t="shared" si="0"/>
        <v> AHSB 7.7.375 </v>
      </c>
      <c r="B29" s="5" t="str">
        <f t="shared" si="1"/>
        <v>I</v>
      </c>
      <c r="C29" s="30">
        <f t="shared" si="2"/>
        <v>36983.339999999997</v>
      </c>
      <c r="D29" s="17" t="str">
        <f t="shared" si="3"/>
        <v>vis</v>
      </c>
      <c r="E29" s="62">
        <f>VLOOKUP(C29,Active!C$21:E$973,3,FALSE)</f>
        <v>2590.987797074109</v>
      </c>
      <c r="F29" s="5" t="s">
        <v>62</v>
      </c>
      <c r="G29" s="17" t="str">
        <f t="shared" si="4"/>
        <v>36983.340</v>
      </c>
      <c r="H29" s="30">
        <f t="shared" si="5"/>
        <v>2591</v>
      </c>
      <c r="I29" s="63" t="s">
        <v>118</v>
      </c>
      <c r="J29" s="64" t="s">
        <v>119</v>
      </c>
      <c r="K29" s="63">
        <v>2591</v>
      </c>
      <c r="L29" s="63" t="s">
        <v>120</v>
      </c>
      <c r="M29" s="64" t="s">
        <v>67</v>
      </c>
      <c r="N29" s="64"/>
      <c r="O29" s="65" t="s">
        <v>68</v>
      </c>
      <c r="P29" s="65" t="s">
        <v>69</v>
      </c>
    </row>
    <row r="30" spans="1:16" ht="12.75" customHeight="1" thickBot="1" x14ac:dyDescent="0.25">
      <c r="A30" s="30" t="str">
        <f t="shared" si="0"/>
        <v> BRNO 32 </v>
      </c>
      <c r="B30" s="5" t="str">
        <f t="shared" si="1"/>
        <v>I</v>
      </c>
      <c r="C30" s="30">
        <f t="shared" si="2"/>
        <v>50043.565399999999</v>
      </c>
      <c r="D30" s="17" t="str">
        <f t="shared" si="3"/>
        <v>vis</v>
      </c>
      <c r="E30" s="62">
        <f>VLOOKUP(C30,Active!C$21:E$973,3,FALSE)</f>
        <v>11764.00755995494</v>
      </c>
      <c r="F30" s="5" t="s">
        <v>62</v>
      </c>
      <c r="G30" s="17" t="str">
        <f t="shared" si="4"/>
        <v>50043.5654</v>
      </c>
      <c r="H30" s="30">
        <f t="shared" si="5"/>
        <v>11764</v>
      </c>
      <c r="I30" s="63" t="s">
        <v>121</v>
      </c>
      <c r="J30" s="64" t="s">
        <v>122</v>
      </c>
      <c r="K30" s="63">
        <v>11764</v>
      </c>
      <c r="L30" s="63" t="s">
        <v>123</v>
      </c>
      <c r="M30" s="64" t="s">
        <v>124</v>
      </c>
      <c r="N30" s="64"/>
      <c r="O30" s="65" t="s">
        <v>125</v>
      </c>
      <c r="P30" s="65" t="s">
        <v>126</v>
      </c>
    </row>
    <row r="31" spans="1:16" ht="12.75" customHeight="1" thickBot="1" x14ac:dyDescent="0.25">
      <c r="A31" s="30" t="str">
        <f t="shared" si="0"/>
        <v>BAVM 117 </v>
      </c>
      <c r="B31" s="5" t="str">
        <f t="shared" si="1"/>
        <v>I</v>
      </c>
      <c r="C31" s="30">
        <f t="shared" si="2"/>
        <v>51199.474699999999</v>
      </c>
      <c r="D31" s="17" t="str">
        <f t="shared" si="3"/>
        <v>vis</v>
      </c>
      <c r="E31" s="62">
        <f>VLOOKUP(C31,Active!C$21:E$973,3,FALSE)</f>
        <v>12575.875542952977</v>
      </c>
      <c r="F31" s="5" t="s">
        <v>62</v>
      </c>
      <c r="G31" s="17" t="str">
        <f t="shared" si="4"/>
        <v>51199.4747</v>
      </c>
      <c r="H31" s="30">
        <f t="shared" si="5"/>
        <v>12576</v>
      </c>
      <c r="I31" s="63" t="s">
        <v>127</v>
      </c>
      <c r="J31" s="64" t="s">
        <v>128</v>
      </c>
      <c r="K31" s="63">
        <v>12576</v>
      </c>
      <c r="L31" s="63" t="s">
        <v>129</v>
      </c>
      <c r="M31" s="64" t="s">
        <v>130</v>
      </c>
      <c r="N31" s="64" t="s">
        <v>131</v>
      </c>
      <c r="O31" s="65" t="s">
        <v>132</v>
      </c>
      <c r="P31" s="66" t="s">
        <v>133</v>
      </c>
    </row>
    <row r="32" spans="1:16" ht="12.75" customHeight="1" thickBot="1" x14ac:dyDescent="0.25">
      <c r="A32" s="30" t="str">
        <f t="shared" si="0"/>
        <v>IBVS 5583 </v>
      </c>
      <c r="B32" s="5" t="str">
        <f t="shared" si="1"/>
        <v>I</v>
      </c>
      <c r="C32" s="30">
        <f t="shared" si="2"/>
        <v>51841.582000000002</v>
      </c>
      <c r="D32" s="17" t="str">
        <f t="shared" si="3"/>
        <v>vis</v>
      </c>
      <c r="E32" s="62">
        <f>VLOOKUP(C32,Active!C$21:E$973,3,FALSE)</f>
        <v>13026.867985456312</v>
      </c>
      <c r="F32" s="5" t="s">
        <v>62</v>
      </c>
      <c r="G32" s="17" t="str">
        <f t="shared" si="4"/>
        <v>51841.5820</v>
      </c>
      <c r="H32" s="30">
        <f t="shared" si="5"/>
        <v>13027</v>
      </c>
      <c r="I32" s="63" t="s">
        <v>134</v>
      </c>
      <c r="J32" s="64" t="s">
        <v>135</v>
      </c>
      <c r="K32" s="63">
        <v>13027</v>
      </c>
      <c r="L32" s="63" t="s">
        <v>136</v>
      </c>
      <c r="M32" s="64" t="s">
        <v>130</v>
      </c>
      <c r="N32" s="64" t="s">
        <v>137</v>
      </c>
      <c r="O32" s="65" t="s">
        <v>138</v>
      </c>
      <c r="P32" s="66" t="s">
        <v>139</v>
      </c>
    </row>
    <row r="33" spans="1:16" ht="12.75" customHeight="1" thickBot="1" x14ac:dyDescent="0.25">
      <c r="A33" s="30" t="str">
        <f t="shared" si="0"/>
        <v>OEJV 0074 </v>
      </c>
      <c r="B33" s="5" t="str">
        <f t="shared" si="1"/>
        <v>I</v>
      </c>
      <c r="C33" s="30">
        <f t="shared" si="2"/>
        <v>52321.3917</v>
      </c>
      <c r="D33" s="17" t="str">
        <f t="shared" si="3"/>
        <v>vis</v>
      </c>
      <c r="E33" s="62">
        <f>VLOOKUP(C33,Active!C$21:E$973,3,FALSE)</f>
        <v>13363.868590401606</v>
      </c>
      <c r="F33" s="5" t="s">
        <v>62</v>
      </c>
      <c r="G33" s="17" t="str">
        <f t="shared" si="4"/>
        <v>52321.39170</v>
      </c>
      <c r="H33" s="30">
        <f t="shared" si="5"/>
        <v>13364</v>
      </c>
      <c r="I33" s="63" t="s">
        <v>140</v>
      </c>
      <c r="J33" s="64" t="s">
        <v>141</v>
      </c>
      <c r="K33" s="63">
        <v>13364</v>
      </c>
      <c r="L33" s="63" t="s">
        <v>142</v>
      </c>
      <c r="M33" s="64" t="s">
        <v>143</v>
      </c>
      <c r="N33" s="64" t="s">
        <v>62</v>
      </c>
      <c r="O33" s="65" t="s">
        <v>144</v>
      </c>
      <c r="P33" s="66" t="s">
        <v>145</v>
      </c>
    </row>
    <row r="34" spans="1:16" ht="12.75" customHeight="1" thickBot="1" x14ac:dyDescent="0.25">
      <c r="A34" s="30" t="str">
        <f t="shared" si="0"/>
        <v>IBVS 5592 </v>
      </c>
      <c r="B34" s="5" t="str">
        <f t="shared" si="1"/>
        <v>I</v>
      </c>
      <c r="C34" s="30">
        <f t="shared" si="2"/>
        <v>53090.2114</v>
      </c>
      <c r="D34" s="17" t="str">
        <f t="shared" si="3"/>
        <v>vis</v>
      </c>
      <c r="E34" s="62">
        <f>VLOOKUP(C34,Active!C$21:E$973,3,FALSE)</f>
        <v>13903.859140809114</v>
      </c>
      <c r="F34" s="5" t="s">
        <v>62</v>
      </c>
      <c r="G34" s="17" t="str">
        <f t="shared" si="4"/>
        <v>53090.2114</v>
      </c>
      <c r="H34" s="30">
        <f t="shared" si="5"/>
        <v>13904</v>
      </c>
      <c r="I34" s="63" t="s">
        <v>146</v>
      </c>
      <c r="J34" s="64" t="s">
        <v>147</v>
      </c>
      <c r="K34" s="63">
        <v>13904</v>
      </c>
      <c r="L34" s="63" t="s">
        <v>148</v>
      </c>
      <c r="M34" s="64" t="s">
        <v>130</v>
      </c>
      <c r="N34" s="64" t="s">
        <v>137</v>
      </c>
      <c r="O34" s="65" t="s">
        <v>149</v>
      </c>
      <c r="P34" s="66" t="s">
        <v>150</v>
      </c>
    </row>
    <row r="35" spans="1:16" ht="12.75" customHeight="1" thickBot="1" x14ac:dyDescent="0.25">
      <c r="A35" s="30" t="str">
        <f t="shared" si="0"/>
        <v>BAVM 178 </v>
      </c>
      <c r="B35" s="5" t="str">
        <f t="shared" si="1"/>
        <v>I</v>
      </c>
      <c r="C35" s="30">
        <f t="shared" si="2"/>
        <v>53769.341200000003</v>
      </c>
      <c r="D35" s="17" t="str">
        <f t="shared" si="3"/>
        <v>vis</v>
      </c>
      <c r="E35" s="62">
        <f>VLOOKUP(C35,Active!C$21:E$973,3,FALSE)</f>
        <v>14380.854819379971</v>
      </c>
      <c r="F35" s="5" t="s">
        <v>62</v>
      </c>
      <c r="G35" s="17" t="str">
        <f t="shared" si="4"/>
        <v>53769.3412</v>
      </c>
      <c r="H35" s="30">
        <f t="shared" si="5"/>
        <v>14381</v>
      </c>
      <c r="I35" s="63" t="s">
        <v>151</v>
      </c>
      <c r="J35" s="64" t="s">
        <v>152</v>
      </c>
      <c r="K35" s="63">
        <v>14381</v>
      </c>
      <c r="L35" s="63" t="s">
        <v>153</v>
      </c>
      <c r="M35" s="64" t="s">
        <v>143</v>
      </c>
      <c r="N35" s="64" t="s">
        <v>131</v>
      </c>
      <c r="O35" s="65" t="s">
        <v>154</v>
      </c>
      <c r="P35" s="66" t="s">
        <v>155</v>
      </c>
    </row>
    <row r="36" spans="1:16" ht="12.75" customHeight="1" thickBot="1" x14ac:dyDescent="0.25">
      <c r="A36" s="30" t="str">
        <f t="shared" si="0"/>
        <v>BAVM 215 </v>
      </c>
      <c r="B36" s="5" t="str">
        <f t="shared" si="1"/>
        <v>II</v>
      </c>
      <c r="C36" s="30">
        <f t="shared" si="2"/>
        <v>54164.404900000001</v>
      </c>
      <c r="D36" s="17" t="str">
        <f t="shared" si="3"/>
        <v>vis</v>
      </c>
      <c r="E36" s="62">
        <f>VLOOKUP(C36,Active!C$21:E$973,3,FALSE)</f>
        <v>14658.332965178037</v>
      </c>
      <c r="F36" s="5" t="s">
        <v>62</v>
      </c>
      <c r="G36" s="17" t="str">
        <f t="shared" si="4"/>
        <v>54164.4049</v>
      </c>
      <c r="H36" s="30">
        <f t="shared" si="5"/>
        <v>14658.5</v>
      </c>
      <c r="I36" s="63" t="s">
        <v>156</v>
      </c>
      <c r="J36" s="64" t="s">
        <v>157</v>
      </c>
      <c r="K36" s="63">
        <v>14658.5</v>
      </c>
      <c r="L36" s="63" t="s">
        <v>158</v>
      </c>
      <c r="M36" s="64" t="s">
        <v>143</v>
      </c>
      <c r="N36" s="64" t="s">
        <v>159</v>
      </c>
      <c r="O36" s="65" t="s">
        <v>160</v>
      </c>
      <c r="P36" s="66" t="s">
        <v>161</v>
      </c>
    </row>
    <row r="37" spans="1:16" ht="12.75" customHeight="1" thickBot="1" x14ac:dyDescent="0.25">
      <c r="A37" s="30" t="str">
        <f t="shared" si="0"/>
        <v>BAVM 209 </v>
      </c>
      <c r="B37" s="5" t="str">
        <f t="shared" si="1"/>
        <v>I</v>
      </c>
      <c r="C37" s="30">
        <f t="shared" si="2"/>
        <v>54841.423300000002</v>
      </c>
      <c r="D37" s="17" t="str">
        <f t="shared" si="3"/>
        <v>vis</v>
      </c>
      <c r="E37" s="62">
        <f>VLOOKUP(C37,Active!C$21:E$973,3,FALSE)</f>
        <v>15133.845674402333</v>
      </c>
      <c r="F37" s="5" t="s">
        <v>62</v>
      </c>
      <c r="G37" s="17" t="str">
        <f t="shared" si="4"/>
        <v>54841.4233</v>
      </c>
      <c r="H37" s="30">
        <f t="shared" si="5"/>
        <v>15134</v>
      </c>
      <c r="I37" s="63" t="s">
        <v>162</v>
      </c>
      <c r="J37" s="64" t="s">
        <v>163</v>
      </c>
      <c r="K37" s="63" t="s">
        <v>164</v>
      </c>
      <c r="L37" s="63" t="s">
        <v>165</v>
      </c>
      <c r="M37" s="64" t="s">
        <v>143</v>
      </c>
      <c r="N37" s="64" t="s">
        <v>159</v>
      </c>
      <c r="O37" s="65" t="s">
        <v>160</v>
      </c>
      <c r="P37" s="66" t="s">
        <v>166</v>
      </c>
    </row>
    <row r="38" spans="1:16" ht="12.75" customHeight="1" thickBot="1" x14ac:dyDescent="0.25">
      <c r="A38" s="30" t="str">
        <f t="shared" si="0"/>
        <v>IBVS 6029 </v>
      </c>
      <c r="B38" s="5" t="str">
        <f t="shared" si="1"/>
        <v>I</v>
      </c>
      <c r="C38" s="30">
        <f t="shared" si="2"/>
        <v>55984.6944</v>
      </c>
      <c r="D38" s="17" t="str">
        <f t="shared" si="3"/>
        <v>vis</v>
      </c>
      <c r="E38" s="62">
        <f>VLOOKUP(C38,Active!C$21:E$973,3,FALSE)</f>
        <v>15936.837052685167</v>
      </c>
      <c r="F38" s="5" t="s">
        <v>62</v>
      </c>
      <c r="G38" s="17" t="str">
        <f t="shared" si="4"/>
        <v>55984.6944</v>
      </c>
      <c r="H38" s="30">
        <f t="shared" si="5"/>
        <v>15937</v>
      </c>
      <c r="I38" s="63" t="s">
        <v>167</v>
      </c>
      <c r="J38" s="64" t="s">
        <v>168</v>
      </c>
      <c r="K38" s="63" t="s">
        <v>169</v>
      </c>
      <c r="L38" s="63" t="s">
        <v>170</v>
      </c>
      <c r="M38" s="64" t="s">
        <v>143</v>
      </c>
      <c r="N38" s="64" t="s">
        <v>62</v>
      </c>
      <c r="O38" s="65" t="s">
        <v>171</v>
      </c>
      <c r="P38" s="66" t="s">
        <v>172</v>
      </c>
    </row>
    <row r="39" spans="1:16" x14ac:dyDescent="0.2">
      <c r="B39" s="5"/>
      <c r="F39" s="5"/>
    </row>
    <row r="40" spans="1:16" x14ac:dyDescent="0.2">
      <c r="B40" s="5"/>
      <c r="F40" s="5"/>
    </row>
    <row r="41" spans="1:16" x14ac:dyDescent="0.2">
      <c r="B41" s="5"/>
      <c r="F41" s="5"/>
    </row>
    <row r="42" spans="1:16" x14ac:dyDescent="0.2">
      <c r="B42" s="5"/>
      <c r="F42" s="5"/>
    </row>
    <row r="43" spans="1:16" x14ac:dyDescent="0.2">
      <c r="B43" s="5"/>
      <c r="F43" s="5"/>
    </row>
    <row r="44" spans="1:16" x14ac:dyDescent="0.2">
      <c r="B44" s="5"/>
      <c r="F44" s="5"/>
    </row>
    <row r="45" spans="1:16" x14ac:dyDescent="0.2">
      <c r="B45" s="5"/>
      <c r="F45" s="5"/>
    </row>
    <row r="46" spans="1:16" x14ac:dyDescent="0.2">
      <c r="B46" s="5"/>
      <c r="F46" s="5"/>
    </row>
    <row r="47" spans="1:16" x14ac:dyDescent="0.2">
      <c r="B47" s="5"/>
      <c r="F47" s="5"/>
    </row>
    <row r="48" spans="1:1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</sheetData>
  <phoneticPr fontId="7" type="noConversion"/>
  <hyperlinks>
    <hyperlink ref="P31" r:id="rId1" display="http://www.bav-astro.de/sfs/BAVM_link.php?BAVMnr=117"/>
    <hyperlink ref="P32" r:id="rId2" display="http://www.konkoly.hu/cgi-bin/IBVS?5583"/>
    <hyperlink ref="P33" r:id="rId3" display="http://var.astro.cz/oejv/issues/oejv0074.pdf"/>
    <hyperlink ref="P34" r:id="rId4" display="http://www.konkoly.hu/cgi-bin/IBVS?5592"/>
    <hyperlink ref="P35" r:id="rId5" display="http://www.bav-astro.de/sfs/BAVM_link.php?BAVMnr=178"/>
    <hyperlink ref="P36" r:id="rId6" display="http://www.bav-astro.de/sfs/BAVM_link.php?BAVMnr=215"/>
    <hyperlink ref="P37" r:id="rId7" display="http://www.bav-astro.de/sfs/BAVM_link.php?BAVMnr=209"/>
    <hyperlink ref="P38" r:id="rId8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2024-02-25T03:53:42Z</dcterms:modified>
</cp:coreProperties>
</file>