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9A3523-4187-445C-B86D-8CEAAEA04BC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13" i="1" l="1"/>
  <c r="C64" i="1"/>
  <c r="Q69" i="1"/>
  <c r="C13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3" i="1"/>
  <c r="Q66" i="1"/>
  <c r="Q67" i="1"/>
  <c r="Q68" i="1"/>
  <c r="G13" i="2"/>
  <c r="C13" i="2"/>
  <c r="G14" i="2"/>
  <c r="C14" i="2"/>
  <c r="G15" i="2"/>
  <c r="C15" i="2"/>
  <c r="G16" i="2"/>
  <c r="C16" i="2"/>
  <c r="G17" i="2"/>
  <c r="C17" i="2"/>
  <c r="G18" i="2"/>
  <c r="C18" i="2"/>
  <c r="G19" i="2"/>
  <c r="C19" i="2"/>
  <c r="G20" i="2"/>
  <c r="C20" i="2"/>
  <c r="G21" i="2"/>
  <c r="C21" i="2"/>
  <c r="G22" i="2"/>
  <c r="C22" i="2"/>
  <c r="G23" i="2"/>
  <c r="C23" i="2"/>
  <c r="G24" i="2"/>
  <c r="C24" i="2"/>
  <c r="G25" i="2"/>
  <c r="C25" i="2"/>
  <c r="G26" i="2"/>
  <c r="C26" i="2"/>
  <c r="G27" i="2"/>
  <c r="C27" i="2"/>
  <c r="G28" i="2"/>
  <c r="C28" i="2"/>
  <c r="G29" i="2"/>
  <c r="C29" i="2"/>
  <c r="G30" i="2"/>
  <c r="C30" i="2"/>
  <c r="G31" i="2"/>
  <c r="C31" i="2"/>
  <c r="G32" i="2"/>
  <c r="C32" i="2"/>
  <c r="G33" i="2"/>
  <c r="C33" i="2"/>
  <c r="G34" i="2"/>
  <c r="C34" i="2"/>
  <c r="G35" i="2"/>
  <c r="C35" i="2"/>
  <c r="G36" i="2"/>
  <c r="C36" i="2"/>
  <c r="G37" i="2"/>
  <c r="C37" i="2"/>
  <c r="G38" i="2"/>
  <c r="C38" i="2"/>
  <c r="G39" i="2"/>
  <c r="C39" i="2"/>
  <c r="G40" i="2"/>
  <c r="C40" i="2"/>
  <c r="G41" i="2"/>
  <c r="C41" i="2"/>
  <c r="G42" i="2"/>
  <c r="C42" i="2"/>
  <c r="G43" i="2"/>
  <c r="C43" i="2"/>
  <c r="G44" i="2"/>
  <c r="C44" i="2"/>
  <c r="G45" i="2"/>
  <c r="C45" i="2"/>
  <c r="G46" i="2"/>
  <c r="C46" i="2"/>
  <c r="G47" i="2"/>
  <c r="C47" i="2"/>
  <c r="G48" i="2"/>
  <c r="C48" i="2"/>
  <c r="G49" i="2"/>
  <c r="C49" i="2"/>
  <c r="G50" i="2"/>
  <c r="C50" i="2"/>
  <c r="G51" i="2"/>
  <c r="C51" i="2"/>
  <c r="G11" i="2"/>
  <c r="C11" i="2"/>
  <c r="G52" i="2"/>
  <c r="C52" i="2"/>
  <c r="G53" i="2"/>
  <c r="C53" i="2"/>
  <c r="G54" i="2"/>
  <c r="C54" i="2"/>
  <c r="G55" i="2"/>
  <c r="C55" i="2"/>
  <c r="G12" i="2"/>
  <c r="C12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11" i="2"/>
  <c r="B11" i="2"/>
  <c r="D11" i="2"/>
  <c r="A11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D14" i="1"/>
  <c r="D13" i="1"/>
  <c r="C14" i="1"/>
  <c r="C17" i="1"/>
  <c r="Q65" i="1"/>
  <c r="E9" i="1"/>
  <c r="Q62" i="1"/>
  <c r="C7" i="1"/>
  <c r="E69" i="1" s="1"/>
  <c r="F69" i="1" s="1"/>
  <c r="C8" i="1"/>
  <c r="E41" i="1" s="1"/>
  <c r="Q64" i="1"/>
  <c r="Q27" i="1"/>
  <c r="E47" i="1"/>
  <c r="E37" i="2" s="1"/>
  <c r="E59" i="1"/>
  <c r="E49" i="2" s="1"/>
  <c r="E54" i="1"/>
  <c r="F54" i="1" s="1"/>
  <c r="E36" i="1"/>
  <c r="E26" i="2" s="1"/>
  <c r="E61" i="1"/>
  <c r="E51" i="2" s="1"/>
  <c r="G69" i="1" l="1"/>
  <c r="V69" i="1"/>
  <c r="V54" i="1"/>
  <c r="G54" i="1"/>
  <c r="F41" i="1"/>
  <c r="E31" i="2"/>
  <c r="E44" i="2"/>
  <c r="E68" i="1"/>
  <c r="F61" i="1"/>
  <c r="E46" i="1"/>
  <c r="F36" i="1"/>
  <c r="E23" i="1"/>
  <c r="E34" i="1"/>
  <c r="F59" i="1"/>
  <c r="E56" i="1"/>
  <c r="F47" i="1"/>
  <c r="E26" i="1"/>
  <c r="E33" i="1"/>
  <c r="E25" i="1"/>
  <c r="E52" i="1"/>
  <c r="E60" i="1"/>
  <c r="E38" i="1"/>
  <c r="E62" i="1"/>
  <c r="E37" i="1"/>
  <c r="E66" i="1"/>
  <c r="E42" i="1"/>
  <c r="E30" i="1"/>
  <c r="E53" i="1"/>
  <c r="E51" i="1"/>
  <c r="E29" i="1"/>
  <c r="E39" i="1"/>
  <c r="E57" i="1"/>
  <c r="E28" i="1"/>
  <c r="E44" i="1"/>
  <c r="E67" i="1"/>
  <c r="E43" i="1"/>
  <c r="E27" i="1"/>
  <c r="F27" i="1" s="1"/>
  <c r="E48" i="1"/>
  <c r="E45" i="1"/>
  <c r="E31" i="1"/>
  <c r="E58" i="1"/>
  <c r="E35" i="1"/>
  <c r="E21" i="1"/>
  <c r="E63" i="1"/>
  <c r="E40" i="1"/>
  <c r="E22" i="1"/>
  <c r="E49" i="1"/>
  <c r="E64" i="1"/>
  <c r="F64" i="1" s="1"/>
  <c r="E50" i="1"/>
  <c r="E32" i="1"/>
  <c r="E55" i="1"/>
  <c r="E24" i="1"/>
  <c r="E65" i="1"/>
  <c r="F65" i="1" s="1"/>
  <c r="G14" i="1"/>
  <c r="G64" i="1" l="1"/>
  <c r="V64" i="1"/>
  <c r="E21" i="2"/>
  <c r="F31" i="1"/>
  <c r="E47" i="2"/>
  <c r="F57" i="1"/>
  <c r="F37" i="1"/>
  <c r="E27" i="2"/>
  <c r="V47" i="1"/>
  <c r="G47" i="1"/>
  <c r="F68" i="1"/>
  <c r="E55" i="2"/>
  <c r="E11" i="2"/>
  <c r="F62" i="1"/>
  <c r="F56" i="1"/>
  <c r="E46" i="2"/>
  <c r="E38" i="2"/>
  <c r="F48" i="1"/>
  <c r="E19" i="2"/>
  <c r="F29" i="1"/>
  <c r="E28" i="2"/>
  <c r="F38" i="1"/>
  <c r="V59" i="1"/>
  <c r="G59" i="1"/>
  <c r="F22" i="1"/>
  <c r="E13" i="2"/>
  <c r="V65" i="1"/>
  <c r="G65" i="1"/>
  <c r="F40" i="1"/>
  <c r="E30" i="2"/>
  <c r="G27" i="1"/>
  <c r="V27" i="1"/>
  <c r="E41" i="2"/>
  <c r="F51" i="1"/>
  <c r="F60" i="1"/>
  <c r="E50" i="2"/>
  <c r="F34" i="1"/>
  <c r="E24" i="2"/>
  <c r="V41" i="1"/>
  <c r="G41" i="1"/>
  <c r="F24" i="1"/>
  <c r="E15" i="2"/>
  <c r="F63" i="1"/>
  <c r="E52" i="2"/>
  <c r="F43" i="1"/>
  <c r="E33" i="2"/>
  <c r="E43" i="2"/>
  <c r="F53" i="1"/>
  <c r="F52" i="1"/>
  <c r="E42" i="2"/>
  <c r="F23" i="1"/>
  <c r="E14" i="2"/>
  <c r="S54" i="1"/>
  <c r="I54" i="1"/>
  <c r="E35" i="2"/>
  <c r="F45" i="1"/>
  <c r="F55" i="1"/>
  <c r="E45" i="2"/>
  <c r="E12" i="2"/>
  <c r="F21" i="1"/>
  <c r="E54" i="2"/>
  <c r="F67" i="1"/>
  <c r="F30" i="1"/>
  <c r="E20" i="2"/>
  <c r="F25" i="1"/>
  <c r="E16" i="2"/>
  <c r="V36" i="1"/>
  <c r="G36" i="1"/>
  <c r="E29" i="2"/>
  <c r="F39" i="1"/>
  <c r="F32" i="1"/>
  <c r="E22" i="2"/>
  <c r="F35" i="1"/>
  <c r="E25" i="2"/>
  <c r="F44" i="1"/>
  <c r="E34" i="2"/>
  <c r="E32" i="2"/>
  <c r="F42" i="1"/>
  <c r="F33" i="1"/>
  <c r="E23" i="2"/>
  <c r="F46" i="1"/>
  <c r="E36" i="2"/>
  <c r="E39" i="2"/>
  <c r="F49" i="1"/>
  <c r="F50" i="1"/>
  <c r="E40" i="2"/>
  <c r="F58" i="1"/>
  <c r="E48" i="2"/>
  <c r="E18" i="2"/>
  <c r="F28" i="1"/>
  <c r="E53" i="2"/>
  <c r="F66" i="1"/>
  <c r="F26" i="1"/>
  <c r="E17" i="2"/>
  <c r="V61" i="1"/>
  <c r="G61" i="1"/>
  <c r="R69" i="1"/>
  <c r="J69" i="1"/>
  <c r="G45" i="1" l="1"/>
  <c r="V45" i="1"/>
  <c r="G53" i="1"/>
  <c r="V53" i="1"/>
  <c r="R41" i="1"/>
  <c r="I41" i="1"/>
  <c r="S59" i="1"/>
  <c r="I59" i="1"/>
  <c r="R61" i="1"/>
  <c r="I61" i="1"/>
  <c r="V33" i="1"/>
  <c r="G33" i="1"/>
  <c r="G30" i="1"/>
  <c r="V30" i="1"/>
  <c r="R27" i="1"/>
  <c r="H27" i="1"/>
  <c r="V56" i="1"/>
  <c r="G56" i="1"/>
  <c r="G37" i="1"/>
  <c r="V37" i="1"/>
  <c r="G58" i="1"/>
  <c r="V58" i="1"/>
  <c r="V32" i="1"/>
  <c r="G32" i="1"/>
  <c r="V42" i="1"/>
  <c r="G42" i="1"/>
  <c r="G39" i="1"/>
  <c r="V39" i="1"/>
  <c r="V67" i="1"/>
  <c r="G67" i="1"/>
  <c r="G38" i="1"/>
  <c r="V38" i="1"/>
  <c r="G62" i="1"/>
  <c r="V62" i="1"/>
  <c r="G57" i="1"/>
  <c r="V57" i="1"/>
  <c r="V26" i="1"/>
  <c r="G26" i="1"/>
  <c r="V50" i="1"/>
  <c r="G50" i="1"/>
  <c r="V43" i="1"/>
  <c r="G43" i="1"/>
  <c r="V34" i="1"/>
  <c r="G34" i="1"/>
  <c r="G40" i="1"/>
  <c r="V40" i="1"/>
  <c r="V49" i="1"/>
  <c r="G49" i="1"/>
  <c r="R36" i="1"/>
  <c r="I36" i="1"/>
  <c r="G21" i="1"/>
  <c r="V21" i="1"/>
  <c r="J65" i="1"/>
  <c r="R65" i="1"/>
  <c r="G29" i="1"/>
  <c r="V29" i="1"/>
  <c r="G31" i="1"/>
  <c r="V31" i="1"/>
  <c r="V44" i="1"/>
  <c r="G44" i="1"/>
  <c r="V23" i="1"/>
  <c r="G23" i="1"/>
  <c r="V63" i="1"/>
  <c r="G63" i="1"/>
  <c r="G60" i="1"/>
  <c r="V60" i="1"/>
  <c r="V68" i="1"/>
  <c r="G68" i="1"/>
  <c r="G28" i="1"/>
  <c r="V28" i="1"/>
  <c r="G51" i="1"/>
  <c r="V51" i="1"/>
  <c r="G48" i="1"/>
  <c r="V48" i="1"/>
  <c r="I47" i="1"/>
  <c r="R47" i="1"/>
  <c r="V66" i="1"/>
  <c r="G66" i="1"/>
  <c r="V46" i="1"/>
  <c r="G46" i="1"/>
  <c r="G35" i="1"/>
  <c r="V35" i="1"/>
  <c r="G25" i="1"/>
  <c r="V25" i="1"/>
  <c r="V55" i="1"/>
  <c r="G55" i="1"/>
  <c r="G52" i="1"/>
  <c r="V52" i="1"/>
  <c r="V24" i="1"/>
  <c r="G24" i="1"/>
  <c r="G22" i="1"/>
  <c r="V22" i="1"/>
  <c r="R64" i="1"/>
  <c r="I64" i="1"/>
  <c r="R63" i="1" l="1"/>
  <c r="I63" i="1"/>
  <c r="I49" i="1"/>
  <c r="R49" i="1"/>
  <c r="S50" i="1"/>
  <c r="I50" i="1"/>
  <c r="I32" i="1"/>
  <c r="S32" i="1"/>
  <c r="R52" i="1"/>
  <c r="I52" i="1"/>
  <c r="S38" i="1"/>
  <c r="I38" i="1"/>
  <c r="S51" i="1"/>
  <c r="I51" i="1"/>
  <c r="R66" i="1"/>
  <c r="I66" i="1"/>
  <c r="I23" i="1"/>
  <c r="S23" i="1"/>
  <c r="R26" i="1"/>
  <c r="I26" i="1"/>
  <c r="R67" i="1"/>
  <c r="I67" i="1"/>
  <c r="R55" i="1"/>
  <c r="I55" i="1"/>
  <c r="R28" i="1"/>
  <c r="I28" i="1"/>
  <c r="R40" i="1"/>
  <c r="I40" i="1"/>
  <c r="I58" i="1"/>
  <c r="R58" i="1"/>
  <c r="S30" i="1"/>
  <c r="I30" i="1"/>
  <c r="I46" i="1"/>
  <c r="R46" i="1"/>
  <c r="I44" i="1"/>
  <c r="S44" i="1"/>
  <c r="I34" i="1"/>
  <c r="S34" i="1"/>
  <c r="I33" i="1"/>
  <c r="S33" i="1"/>
  <c r="I29" i="1"/>
  <c r="S29" i="1"/>
  <c r="I22" i="1"/>
  <c r="S22" i="1"/>
  <c r="S21" i="1"/>
  <c r="I21" i="1"/>
  <c r="I57" i="1"/>
  <c r="R57" i="1"/>
  <c r="I39" i="1"/>
  <c r="S39" i="1"/>
  <c r="I37" i="1"/>
  <c r="R37" i="1"/>
  <c r="R53" i="1"/>
  <c r="I53" i="1"/>
  <c r="R43" i="1"/>
  <c r="I43" i="1"/>
  <c r="R42" i="1"/>
  <c r="I42" i="1"/>
  <c r="I56" i="1"/>
  <c r="R56" i="1"/>
  <c r="I68" i="1"/>
  <c r="R68" i="1"/>
  <c r="S25" i="1"/>
  <c r="I25" i="1"/>
  <c r="I24" i="1"/>
  <c r="R24" i="1"/>
  <c r="R35" i="1"/>
  <c r="I35" i="1"/>
  <c r="R48" i="1"/>
  <c r="I48" i="1"/>
  <c r="S60" i="1"/>
  <c r="I60" i="1"/>
  <c r="S31" i="1"/>
  <c r="I31" i="1"/>
  <c r="J62" i="1"/>
  <c r="R62" i="1"/>
  <c r="S45" i="1"/>
  <c r="I45" i="1"/>
  <c r="C12" i="1"/>
  <c r="C11" i="1"/>
  <c r="D11" i="1"/>
  <c r="D12" i="1"/>
  <c r="D16" i="1" l="1"/>
  <c r="D19" i="1" s="1"/>
  <c r="D15" i="1"/>
  <c r="C19" i="1" s="1"/>
  <c r="O53" i="1"/>
  <c r="O39" i="1"/>
  <c r="O34" i="1"/>
  <c r="O52" i="1"/>
  <c r="O29" i="1"/>
  <c r="O50" i="1"/>
  <c r="O47" i="1"/>
  <c r="O56" i="1"/>
  <c r="O26" i="1"/>
  <c r="O62" i="1"/>
  <c r="O23" i="1"/>
  <c r="O54" i="1"/>
  <c r="O33" i="1"/>
  <c r="O69" i="1"/>
  <c r="O27" i="1"/>
  <c r="O64" i="1"/>
  <c r="O28" i="1"/>
  <c r="O31" i="1"/>
  <c r="O38" i="1"/>
  <c r="O57" i="1"/>
  <c r="O24" i="1"/>
  <c r="O58" i="1"/>
  <c r="O25" i="1"/>
  <c r="O42" i="1"/>
  <c r="O55" i="1"/>
  <c r="O60" i="1"/>
  <c r="O30" i="1"/>
  <c r="O35" i="1"/>
  <c r="O65" i="1"/>
  <c r="O44" i="1"/>
  <c r="O45" i="1"/>
  <c r="O67" i="1"/>
  <c r="O32" i="1"/>
  <c r="O43" i="1"/>
  <c r="O61" i="1"/>
  <c r="O66" i="1"/>
  <c r="O40" i="1"/>
  <c r="O21" i="1"/>
  <c r="O37" i="1"/>
  <c r="O63" i="1"/>
  <c r="O36" i="1"/>
  <c r="O48" i="1"/>
  <c r="O51" i="1"/>
  <c r="O68" i="1"/>
  <c r="O41" i="1"/>
  <c r="O46" i="1"/>
  <c r="O49" i="1"/>
  <c r="C15" i="1"/>
  <c r="O59" i="1"/>
  <c r="O22" i="1"/>
  <c r="C16" i="1"/>
  <c r="D18" i="1" s="1"/>
  <c r="P24" i="1"/>
  <c r="P54" i="1"/>
  <c r="P63" i="1"/>
  <c r="P59" i="1"/>
  <c r="P37" i="1"/>
  <c r="P38" i="1"/>
  <c r="P68" i="1"/>
  <c r="P44" i="1"/>
  <c r="P56" i="1"/>
  <c r="P30" i="1"/>
  <c r="P22" i="1"/>
  <c r="P62" i="1"/>
  <c r="P69" i="1"/>
  <c r="P65" i="1"/>
  <c r="P50" i="1"/>
  <c r="P46" i="1"/>
  <c r="P28" i="1"/>
  <c r="P49" i="1"/>
  <c r="P57" i="1"/>
  <c r="P48" i="1"/>
  <c r="P27" i="1"/>
  <c r="P64" i="1"/>
  <c r="P51" i="1"/>
  <c r="P42" i="1"/>
  <c r="P52" i="1"/>
  <c r="P41" i="1"/>
  <c r="P29" i="1"/>
  <c r="P60" i="1"/>
  <c r="P25" i="1"/>
  <c r="P34" i="1"/>
  <c r="P23" i="1"/>
  <c r="P36" i="1"/>
  <c r="P21" i="1"/>
  <c r="P53" i="1"/>
  <c r="P43" i="1"/>
  <c r="P39" i="1"/>
  <c r="P35" i="1"/>
  <c r="P66" i="1"/>
  <c r="P61" i="1"/>
  <c r="P33" i="1"/>
  <c r="P45" i="1"/>
  <c r="P26" i="1"/>
  <c r="P67" i="1"/>
  <c r="P31" i="1"/>
  <c r="P32" i="1"/>
  <c r="P47" i="1"/>
  <c r="P40" i="1"/>
  <c r="P55" i="1"/>
  <c r="P58" i="1"/>
  <c r="S19" i="1"/>
  <c r="E19" i="1" s="1"/>
  <c r="R19" i="1"/>
  <c r="E18" i="1" s="1"/>
  <c r="C18" i="1" l="1"/>
  <c r="G15" i="1"/>
  <c r="G16" i="1" s="1"/>
</calcChain>
</file>

<file path=xl/sharedStrings.xml><?xml version="1.0" encoding="utf-8"?>
<sst xmlns="http://schemas.openxmlformats.org/spreadsheetml/2006/main" count="530" uniqueCount="218">
  <si>
    <t>VSB-063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</si>
  <si>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</si>
  <si>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</si>
  <si>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</si>
  <si>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</si>
  <si>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</si>
  <si>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</si>
  <si>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</si>
  <si>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</si>
  <si>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</si>
  <si>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</si>
  <si>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</si>
  <si>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</si>
  <si>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</si>
  <si>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</si>
  <si>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</si>
  <si>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</si>
  <si>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</si>
  <si>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</si>
  <si>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</si>
  <si>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</si>
  <si>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</si>
  <si>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</si>
  <si>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</si>
  <si>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Kreiner Eph.</t>
  </si>
  <si>
    <t>I</t>
  </si>
  <si>
    <t>II</t>
  </si>
  <si>
    <t>J.M. Kreiner, 2004, Acta Astronomica, vol. 54, pp 207-210.</t>
  </si>
  <si>
    <t>Ref only</t>
  </si>
  <si>
    <t>Kreiner 1</t>
  </si>
  <si>
    <t>Kreiner 2</t>
  </si>
  <si>
    <t xml:space="preserve">V0536 Mon / GSC 4819-0262 </t>
  </si>
  <si>
    <t>E</t>
  </si>
  <si>
    <t>IBVS 5802</t>
  </si>
  <si>
    <t>Start of Lin fit (row)</t>
  </si>
  <si>
    <t>LS Intercept =</t>
  </si>
  <si>
    <t>LS Slope =</t>
  </si>
  <si>
    <t>Start cell (x)</t>
  </si>
  <si>
    <t>Start cell (y)</t>
  </si>
  <si>
    <t>OEJV 0107</t>
  </si>
  <si>
    <t>New epoch =</t>
  </si>
  <si>
    <t>New Period =</t>
  </si>
  <si>
    <t># of data points =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</si>
  <si>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</si>
  <si>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</si>
  <si>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</si>
  <si>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</si>
  <si>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</si>
  <si>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</si>
  <si>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</si>
  <si>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</si>
  <si>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</si>
  <si>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</si>
  <si>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</si>
  <si>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2429691.414 </t>
  </si>
  <si>
    <t> 02.03.1940 21:56 </t>
  </si>
  <si>
    <t> 0.000 </t>
  </si>
  <si>
    <t>P </t>
  </si>
  <si>
    <t> A.A.Wachmann </t>
  </si>
  <si>
    <t> AHSB 7.7.379 </t>
  </si>
  <si>
    <t>2429696.320 </t>
  </si>
  <si>
    <t> 07.03.1940 19:40 </t>
  </si>
  <si>
    <t> -0.094 </t>
  </si>
  <si>
    <t>2429727.355 </t>
  </si>
  <si>
    <t> 07.04.1940 20:31 </t>
  </si>
  <si>
    <t> -0.059 </t>
  </si>
  <si>
    <t>2430025.411 </t>
  </si>
  <si>
    <t> 30.01.1941 21:51 </t>
  </si>
  <si>
    <t>2431144.351 </t>
  </si>
  <si>
    <t> 23.02.1944 20:25 </t>
  </si>
  <si>
    <t> -0.063 </t>
  </si>
  <si>
    <t>2432888.580 </t>
  </si>
  <si>
    <t> 03.12.1948 01:55 </t>
  </si>
  <si>
    <t> 0.166 </t>
  </si>
  <si>
    <t>2433000.355 </t>
  </si>
  <si>
    <t> 24.03.1949 20:31 </t>
  </si>
  <si>
    <t>2433217.352 </t>
  </si>
  <si>
    <t> 27.10.1949 20:26 </t>
  </si>
  <si>
    <t> -0.062 </t>
  </si>
  <si>
    <t>2433304.440 </t>
  </si>
  <si>
    <t> 22.01.1950 22:33 </t>
  </si>
  <si>
    <t> 0.026 </t>
  </si>
  <si>
    <t>2434444.382 </t>
  </si>
  <si>
    <t> 07.03.1953 21:10 </t>
  </si>
  <si>
    <t> -0.032 </t>
  </si>
  <si>
    <t>2434769.437 </t>
  </si>
  <si>
    <t> 26.01.1954 22:29 </t>
  </si>
  <si>
    <t> 0.023 </t>
  </si>
  <si>
    <t>2435131.452 </t>
  </si>
  <si>
    <t> 23.01.1955 22:50 </t>
  </si>
  <si>
    <t> 0.038 </t>
  </si>
  <si>
    <t>2436597.374 </t>
  </si>
  <si>
    <t> 28.01.1959 20:58 </t>
  </si>
  <si>
    <t> -0.040 </t>
  </si>
  <si>
    <t>2437558.651 </t>
  </si>
  <si>
    <t> 16.09.1961 03:37 </t>
  </si>
  <si>
    <t> 0.237 </t>
  </si>
  <si>
    <t> H.Busch </t>
  </si>
  <si>
    <t> MVS 12.51 </t>
  </si>
  <si>
    <t>2438004.602 </t>
  </si>
  <si>
    <t> 06.12.1962 02:26 </t>
  </si>
  <si>
    <t> 0.188 </t>
  </si>
  <si>
    <t>2438005.624 </t>
  </si>
  <si>
    <t> 07.12.1962 02:58 </t>
  </si>
  <si>
    <t> 0.210 </t>
  </si>
  <si>
    <t>2438106.364 </t>
  </si>
  <si>
    <t> 17.03.1963 20:44 </t>
  </si>
  <si>
    <t> -0.050 </t>
  </si>
  <si>
    <t> T.Berthold </t>
  </si>
  <si>
    <t> MHAR 20.8 </t>
  </si>
  <si>
    <t>2438842.370 </t>
  </si>
  <si>
    <t> 22.03.1965 20:52 </t>
  </si>
  <si>
    <t> -0.044 </t>
  </si>
  <si>
    <t>2439054.616 </t>
  </si>
  <si>
    <t> 21.10.1965 02:47 </t>
  </si>
  <si>
    <t> 0.202 </t>
  </si>
  <si>
    <t>2439054.617 </t>
  </si>
  <si>
    <t> 21.10.1965 02:48 </t>
  </si>
  <si>
    <t> 0.203 </t>
  </si>
  <si>
    <t>2439508.477 </t>
  </si>
  <si>
    <t> 17.01.1967 23:26 </t>
  </si>
  <si>
    <t> 0.063 </t>
  </si>
  <si>
    <t>2439827.56 </t>
  </si>
  <si>
    <t> 03.12.1967 01:26 </t>
  </si>
  <si>
    <t> 0.15 </t>
  </si>
  <si>
    <t>2440473.615 </t>
  </si>
  <si>
    <t> 09.09.1969 02:45 </t>
  </si>
  <si>
    <t> 0.201 </t>
  </si>
  <si>
    <t>2441357.420 </t>
  </si>
  <si>
    <t> 09.02.1972 22:04 </t>
  </si>
  <si>
    <t> 0.006 </t>
  </si>
  <si>
    <t>2442839.285 </t>
  </si>
  <si>
    <t> 01.03.1976 18:50 </t>
  </si>
  <si>
    <t> -0.129 </t>
  </si>
  <si>
    <t>2443078.508 </t>
  </si>
  <si>
    <t> 27.10.1976 00:11 </t>
  </si>
  <si>
    <t> 0.094 </t>
  </si>
  <si>
    <t>2445403.325 </t>
  </si>
  <si>
    <t> 09.03.1983 19:48 </t>
  </si>
  <si>
    <t> -0.089 </t>
  </si>
  <si>
    <t>2447967.327 </t>
  </si>
  <si>
    <t> 16.03.1990 19:50 </t>
  </si>
  <si>
    <t> -0.087 </t>
  </si>
  <si>
    <t> B.Hassforther </t>
  </si>
  <si>
    <t> BAVR 53,33 </t>
  </si>
  <si>
    <t>2448681.327 </t>
  </si>
  <si>
    <t> 28.02.1992 19:50 </t>
  </si>
  <si>
    <t>2448681.418 </t>
  </si>
  <si>
    <t> 28.02.1992 22:01 </t>
  </si>
  <si>
    <t> 0.004 </t>
  </si>
  <si>
    <t>2448893.592 </t>
  </si>
  <si>
    <t> 28.09.1992 02:12 </t>
  </si>
  <si>
    <t> 0.178 </t>
  </si>
  <si>
    <t>2449310.523 </t>
  </si>
  <si>
    <t> 19.11.1993 00:33 </t>
  </si>
  <si>
    <t> 0.109 </t>
  </si>
  <si>
    <t>2449638.581 </t>
  </si>
  <si>
    <t> 13.10.1994 01:56 </t>
  </si>
  <si>
    <t> 0.167 </t>
  </si>
  <si>
    <t>2449661.541 </t>
  </si>
  <si>
    <t> 05.11.1994 00:59 </t>
  </si>
  <si>
    <t> 0.127 </t>
  </si>
  <si>
    <t>2449721.395 </t>
  </si>
  <si>
    <t> 03.01.1995 21:28 </t>
  </si>
  <si>
    <t> -0.019 </t>
  </si>
  <si>
    <t>2450151.285 </t>
  </si>
  <si>
    <t> 08.03.1996 18:50 </t>
  </si>
  <si>
    <t>2452739.538 </t>
  </si>
  <si>
    <t> 10.04.2003 00:54 </t>
  </si>
  <si>
    <t> 0.124 </t>
  </si>
  <si>
    <t>V </t>
  </si>
  <si>
    <t>BAVM R52 </t>
  </si>
  <si>
    <t>2452742.041 </t>
  </si>
  <si>
    <t> 12.04.2003 12:59 </t>
  </si>
  <si>
    <t> -0.373 </t>
  </si>
  <si>
    <t>2454116.0515 </t>
  </si>
  <si>
    <t> 15.01.2007 13:14 </t>
  </si>
  <si>
    <t> -0.3625 </t>
  </si>
  <si>
    <t>C </t>
  </si>
  <si>
    <t>Ic</t>
  </si>
  <si>
    <t> K.Nakajima </t>
  </si>
  <si>
    <t>VSB 46 </t>
  </si>
  <si>
    <t>2454138.0824 </t>
  </si>
  <si>
    <t> 06.02.2007 13:58 </t>
  </si>
  <si>
    <t> -0.3316 </t>
  </si>
  <si>
    <t>2454150.3514 </t>
  </si>
  <si>
    <t> 18.02.2007 20:26 </t>
  </si>
  <si>
    <t> -0.0626 </t>
  </si>
  <si>
    <t>-I</t>
  </si>
  <si>
    <t> F.Walter </t>
  </si>
  <si>
    <t>BAVM 186 </t>
  </si>
  <si>
    <t>2454843.4861 </t>
  </si>
  <si>
    <t> 11.01.2009 23:39 </t>
  </si>
  <si>
    <t>25152</t>
  </si>
  <si>
    <t> 0.0721 </t>
  </si>
  <si>
    <t>R</t>
  </si>
  <si>
    <t> H.Kucáková </t>
  </si>
  <si>
    <t>OEJV 0107 </t>
  </si>
  <si>
    <t>2456334.0453 </t>
  </si>
  <si>
    <t> 10.02.2013 13:05 </t>
  </si>
  <si>
    <t>26642.5</t>
  </si>
  <si>
    <t> 0.1313 </t>
  </si>
  <si>
    <t> H.Itoh </t>
  </si>
  <si>
    <t>VSB 56 </t>
  </si>
  <si>
    <t>2456334.0457 </t>
  </si>
  <si>
    <t> 0.1317 </t>
  </si>
  <si>
    <t>Rc</t>
  </si>
  <si>
    <t>2456334.0460 </t>
  </si>
  <si>
    <t> 10.02.2013 13:06 </t>
  </si>
  <si>
    <t> 0.1320 </t>
  </si>
  <si>
    <t>B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</si>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</sst>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1" fillId="0" borderId="0" xfId="0" applyFont="1" applyAlignment="1"/>
    <xf numFmtId="0" fontId="15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5" fillId="0" borderId="0" xfId="0" applyFont="1" applyAlignment="1">
      <alignment horizontal="center" wrapText="1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9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center"/>
    </xf>
    <xf numFmtId="0" fontId="3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4" fillId="0" borderId="0" xfId="0" applyFont="1" applyAlignment="1"/>
    <xf numFmtId="0" fontId="35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V0536 Mon - O-C Diagr.</a:t>
            </a:r>
          </a:p>
        </c:rich>
      </c:tx>
      <c:layout>
        <c:manualLayout>
          <c:xMode val="edge"/>
          <c:yMode val="edge"/>
          <c:x val="0.3612903225806451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01531966242162"/>
          <c:w val="0.8209677419354838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4.0000000000000001E-3</c:v>
                  </c:pt>
                  <c:pt idx="42">
                    <c:v>0</c:v>
                  </c:pt>
                  <c:pt idx="44">
                    <c:v>1.1999999999999999E-3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4.0000000000000001E-3</c:v>
                  </c:pt>
                  <c:pt idx="42">
                    <c:v>0</c:v>
                  </c:pt>
                  <c:pt idx="44">
                    <c:v>1.1999999999999999E-3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2E-4738-8851-26F99AA9DA5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0.31261000000085915</c:v>
                </c:pt>
                <c:pt idx="1">
                  <c:v>-0.91537000000244007</c:v>
                </c:pt>
                <c:pt idx="2">
                  <c:v>-0.55027000000336557</c:v>
                </c:pt>
                <c:pt idx="3">
                  <c:v>7.6999999982945155E-3</c:v>
                </c:pt>
                <c:pt idx="4">
                  <c:v>-0.50365000000238069</c:v>
                </c:pt>
                <c:pt idx="5">
                  <c:v>-1.3919600000008359</c:v>
                </c:pt>
                <c:pt idx="7">
                  <c:v>-2.8599999997823033E-2</c:v>
                </c:pt>
                <c:pt idx="8">
                  <c:v>-0.78789000000688247</c:v>
                </c:pt>
                <c:pt idx="9">
                  <c:v>0.42439000000013039</c:v>
                </c:pt>
                <c:pt idx="10">
                  <c:v>-0.55389000000286615</c:v>
                </c:pt>
                <c:pt idx="11">
                  <c:v>-0.59982999999920139</c:v>
                </c:pt>
                <c:pt idx="12">
                  <c:v>-0.4896500000031665</c:v>
                </c:pt>
                <c:pt idx="13">
                  <c:v>-0.58886999999958789</c:v>
                </c:pt>
                <c:pt idx="14">
                  <c:v>0.720259999994596</c:v>
                </c:pt>
                <c:pt idx="15">
                  <c:v>-1.1092800000042189</c:v>
                </c:pt>
                <c:pt idx="16">
                  <c:v>-8.7279999999736901E-2</c:v>
                </c:pt>
                <c:pt idx="17">
                  <c:v>-0.55795000000216532</c:v>
                </c:pt>
                <c:pt idx="18">
                  <c:v>-0.62954999999783468</c:v>
                </c:pt>
                <c:pt idx="19">
                  <c:v>-5.8599999974831007E-3</c:v>
                </c:pt>
                <c:pt idx="20">
                  <c:v>-4.8600000009173527E-3</c:v>
                </c:pt>
                <c:pt idx="21">
                  <c:v>-5.9380000006058253E-2</c:v>
                </c:pt>
                <c:pt idx="22">
                  <c:v>5.6659999994735699E-2</c:v>
                </c:pt>
                <c:pt idx="23">
                  <c:v>-1.0232300000061514</c:v>
                </c:pt>
                <c:pt idx="24">
                  <c:v>-0.51135000000067521</c:v>
                </c:pt>
                <c:pt idx="25">
                  <c:v>-2.5199999945471063E-3</c:v>
                </c:pt>
                <c:pt idx="26">
                  <c:v>-4.7400000039488077E-3</c:v>
                </c:pt>
                <c:pt idx="27">
                  <c:v>3.3839999996416736E-2</c:v>
                </c:pt>
                <c:pt idx="28">
                  <c:v>3.2199999994190875E-2</c:v>
                </c:pt>
                <c:pt idx="29">
                  <c:v>-0.57647000000724802</c:v>
                </c:pt>
                <c:pt idx="30">
                  <c:v>-0.48547000000689877</c:v>
                </c:pt>
                <c:pt idx="31">
                  <c:v>6.6219999993336387E-2</c:v>
                </c:pt>
                <c:pt idx="32">
                  <c:v>-0.1134200000014971</c:v>
                </c:pt>
                <c:pt idx="33">
                  <c:v>-0.22335000000748551</c:v>
                </c:pt>
                <c:pt idx="34">
                  <c:v>1.2677199999961886</c:v>
                </c:pt>
                <c:pt idx="35">
                  <c:v>-0.21808000000601169</c:v>
                </c:pt>
                <c:pt idx="36">
                  <c:v>0.29332000000431435</c:v>
                </c:pt>
                <c:pt idx="37">
                  <c:v>6.7599999965750612E-3</c:v>
                </c:pt>
                <c:pt idx="38">
                  <c:v>-0.55723000000580214</c:v>
                </c:pt>
                <c:pt idx="39">
                  <c:v>-0.55825000000186265</c:v>
                </c:pt>
                <c:pt idx="40">
                  <c:v>3.719999993336387E-3</c:v>
                </c:pt>
                <c:pt idx="42">
                  <c:v>-2.8000000020256266E-4</c:v>
                </c:pt>
                <c:pt idx="43">
                  <c:v>-2.5199999945471063E-3</c:v>
                </c:pt>
                <c:pt idx="45">
                  <c:v>1.7799999986891635E-3</c:v>
                </c:pt>
                <c:pt idx="46">
                  <c:v>2.1800000031362288E-3</c:v>
                </c:pt>
                <c:pt idx="47">
                  <c:v>2.4800000028335489E-3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2E-4738-8851-26F99AA9DA5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41">
                  <c:v>4.7599999961676076E-3</c:v>
                </c:pt>
                <c:pt idx="44">
                  <c:v>-2.7000000409316272E-4</c:v>
                </c:pt>
                <c:pt idx="48">
                  <c:v>-1.1000000013154931E-3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2E-4738-8851-26F99AA9DA5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2E-4738-8851-26F99AA9DA5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2E-4738-8851-26F99AA9DA5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2E-4738-8851-26F99AA9DA5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2E-4738-8851-26F99AA9DA5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-0.25508615832645448</c:v>
                </c:pt>
                <c:pt idx="1">
                  <c:v>-0.25499808736116897</c:v>
                </c:pt>
                <c:pt idx="2">
                  <c:v>-0.2545577325347414</c:v>
                </c:pt>
                <c:pt idx="3">
                  <c:v>-0.25028629071839426</c:v>
                </c:pt>
                <c:pt idx="4">
                  <c:v>-0.23421333955378898</c:v>
                </c:pt>
                <c:pt idx="5">
                  <c:v>-0.20915714993006185</c:v>
                </c:pt>
                <c:pt idx="6">
                  <c:v>7.2493797052994066E-2</c:v>
                </c:pt>
                <c:pt idx="7">
                  <c:v>-0.20757187255492265</c:v>
                </c:pt>
                <c:pt idx="8">
                  <c:v>-0.20444535328728713</c:v>
                </c:pt>
                <c:pt idx="9">
                  <c:v>-0.20321235977329</c:v>
                </c:pt>
                <c:pt idx="10">
                  <c:v>-0.18683116023018542</c:v>
                </c:pt>
                <c:pt idx="11">
                  <c:v>-0.18216339907005352</c:v>
                </c:pt>
                <c:pt idx="12">
                  <c:v>-0.17696721211820854</c:v>
                </c:pt>
                <c:pt idx="13">
                  <c:v>-0.15591825141497201</c:v>
                </c:pt>
                <c:pt idx="14">
                  <c:v>-0.14213514534778993</c:v>
                </c:pt>
                <c:pt idx="15">
                  <c:v>-0.1357059648819478</c:v>
                </c:pt>
                <c:pt idx="16">
                  <c:v>-0.1357059648819478</c:v>
                </c:pt>
                <c:pt idx="17">
                  <c:v>-0.13425279395473694</c:v>
                </c:pt>
                <c:pt idx="18">
                  <c:v>-0.12368427812047593</c:v>
                </c:pt>
                <c:pt idx="19">
                  <c:v>-0.1206458298181259</c:v>
                </c:pt>
                <c:pt idx="20">
                  <c:v>-0.1206458298181259</c:v>
                </c:pt>
                <c:pt idx="21">
                  <c:v>-0.11412857838699826</c:v>
                </c:pt>
                <c:pt idx="22">
                  <c:v>-0.10954888819215182</c:v>
                </c:pt>
                <c:pt idx="23">
                  <c:v>-0.10025740135453069</c:v>
                </c:pt>
                <c:pt idx="24">
                  <c:v>-8.7575182353417477E-2</c:v>
                </c:pt>
                <c:pt idx="25">
                  <c:v>-6.630604423696719E-2</c:v>
                </c:pt>
                <c:pt idx="26">
                  <c:v>-6.2871276590832373E-2</c:v>
                </c:pt>
                <c:pt idx="27">
                  <c:v>-2.9492380747624683E-2</c:v>
                </c:pt>
                <c:pt idx="28">
                  <c:v>7.3212827417178383E-3</c:v>
                </c:pt>
                <c:pt idx="29">
                  <c:v>1.7581550197479569E-2</c:v>
                </c:pt>
                <c:pt idx="30">
                  <c:v>1.7581550197479569E-2</c:v>
                </c:pt>
                <c:pt idx="31">
                  <c:v>2.0619998499829609E-2</c:v>
                </c:pt>
                <c:pt idx="32">
                  <c:v>2.6608824139244182E-2</c:v>
                </c:pt>
                <c:pt idx="33">
                  <c:v>3.1320620782018881E-2</c:v>
                </c:pt>
                <c:pt idx="34">
                  <c:v>3.1628869160518158E-2</c:v>
                </c:pt>
                <c:pt idx="35">
                  <c:v>3.2509578813373248E-2</c:v>
                </c:pt>
                <c:pt idx="36">
                  <c:v>3.8674546383358835E-2</c:v>
                </c:pt>
                <c:pt idx="37">
                  <c:v>7.5840493733843384E-2</c:v>
                </c:pt>
                <c:pt idx="38">
                  <c:v>7.5884529216486141E-2</c:v>
                </c:pt>
                <c:pt idx="39">
                  <c:v>9.5612425440440019E-2</c:v>
                </c:pt>
                <c:pt idx="40">
                  <c:v>9.5920673818939303E-2</c:v>
                </c:pt>
                <c:pt idx="41">
                  <c:v>9.6096815749510317E-2</c:v>
                </c:pt>
                <c:pt idx="42">
                  <c:v>0.10604883482677277</c:v>
                </c:pt>
                <c:pt idx="43">
                  <c:v>-6.630604423696719E-2</c:v>
                </c:pt>
                <c:pt idx="44">
                  <c:v>0.10604883482677277</c:v>
                </c:pt>
                <c:pt idx="45">
                  <c:v>0.12745007939115133</c:v>
                </c:pt>
                <c:pt idx="46">
                  <c:v>0.12745007939115133</c:v>
                </c:pt>
                <c:pt idx="47">
                  <c:v>0.12745007939115133</c:v>
                </c:pt>
                <c:pt idx="48">
                  <c:v>0.14779447237210375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2E-4738-8851-26F99AA9DA59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0.11703265924328198</c:v>
                </c:pt>
                <c:pt idx="1">
                  <c:v>0.11700121830006972</c:v>
                </c:pt>
                <c:pt idx="2">
                  <c:v>0.11684401358400842</c:v>
                </c:pt>
                <c:pt idx="3">
                  <c:v>0.11531912783821388</c:v>
                </c:pt>
                <c:pt idx="4">
                  <c:v>0.10958115570197666</c:v>
                </c:pt>
                <c:pt idx="5">
                  <c:v>0.10063620735808904</c:v>
                </c:pt>
                <c:pt idx="6">
                  <c:v>8.8070965285508415E-5</c:v>
                </c:pt>
                <c:pt idx="7">
                  <c:v>0.10007027038026838</c:v>
                </c:pt>
                <c:pt idx="8">
                  <c:v>9.8954116896233194E-2</c:v>
                </c:pt>
                <c:pt idx="9">
                  <c:v>9.8513943691261568E-2</c:v>
                </c:pt>
                <c:pt idx="10">
                  <c:v>9.2665928253781435E-2</c:v>
                </c:pt>
                <c:pt idx="11">
                  <c:v>9.0999558263531719E-2</c:v>
                </c:pt>
                <c:pt idx="12">
                  <c:v>8.9144542614008462E-2</c:v>
                </c:pt>
                <c:pt idx="13">
                  <c:v>8.1630157186278612E-2</c:v>
                </c:pt>
                <c:pt idx="14">
                  <c:v>7.6709649573560121E-2</c:v>
                </c:pt>
                <c:pt idx="15">
                  <c:v>7.4414460719065226E-2</c:v>
                </c:pt>
                <c:pt idx="16">
                  <c:v>7.4414460719065226E-2</c:v>
                </c:pt>
                <c:pt idx="17">
                  <c:v>7.3895685156062957E-2</c:v>
                </c:pt>
                <c:pt idx="18">
                  <c:v>7.0122771970591913E-2</c:v>
                </c:pt>
                <c:pt idx="19">
                  <c:v>6.9038059429768983E-2</c:v>
                </c:pt>
                <c:pt idx="20">
                  <c:v>6.9038059429768983E-2</c:v>
                </c:pt>
                <c:pt idx="21">
                  <c:v>6.6711429632061836E-2</c:v>
                </c:pt>
                <c:pt idx="22">
                  <c:v>6.5076500585024372E-2</c:v>
                </c:pt>
                <c:pt idx="23">
                  <c:v>6.1759481076131072E-2</c:v>
                </c:pt>
                <c:pt idx="24">
                  <c:v>5.7231985253565806E-2</c:v>
                </c:pt>
                <c:pt idx="25">
                  <c:v>4.9638997467805319E-2</c:v>
                </c:pt>
                <c:pt idx="26">
                  <c:v>4.8412800682527221E-2</c:v>
                </c:pt>
                <c:pt idx="27">
                  <c:v>3.6496683205081155E-2</c:v>
                </c:pt>
                <c:pt idx="28">
                  <c:v>2.3354368942356991E-2</c:v>
                </c:pt>
                <c:pt idx="29">
                  <c:v>1.9691499058128847E-2</c:v>
                </c:pt>
                <c:pt idx="30">
                  <c:v>1.9691499058128847E-2</c:v>
                </c:pt>
                <c:pt idx="31">
                  <c:v>1.8606786517305917E-2</c:v>
                </c:pt>
                <c:pt idx="32">
                  <c:v>1.6468802378872324E-2</c:v>
                </c:pt>
                <c:pt idx="33">
                  <c:v>1.4786711917016479E-2</c:v>
                </c:pt>
                <c:pt idx="34">
                  <c:v>1.4676668615773575E-2</c:v>
                </c:pt>
                <c:pt idx="35">
                  <c:v>1.4362259183650987E-2</c:v>
                </c:pt>
                <c:pt idx="36">
                  <c:v>1.2161393158792872E-2</c:v>
                </c:pt>
                <c:pt idx="37">
                  <c:v>-1.1066848767803245E-3</c:v>
                </c:pt>
                <c:pt idx="38">
                  <c:v>-1.1224053483864539E-3</c:v>
                </c:pt>
                <c:pt idx="39">
                  <c:v>-8.1651766279324158E-3</c:v>
                </c:pt>
                <c:pt idx="40">
                  <c:v>-8.2752199291753221E-3</c:v>
                </c:pt>
                <c:pt idx="41">
                  <c:v>-8.3381018155998399E-3</c:v>
                </c:pt>
                <c:pt idx="42">
                  <c:v>-1.189092839858508E-2</c:v>
                </c:pt>
                <c:pt idx="43">
                  <c:v>4.9638997467805319E-2</c:v>
                </c:pt>
                <c:pt idx="44">
                  <c:v>-1.189092839858508E-2</c:v>
                </c:pt>
                <c:pt idx="45">
                  <c:v>-1.9531077599163962E-2</c:v>
                </c:pt>
                <c:pt idx="46">
                  <c:v>-1.9531077599163962E-2</c:v>
                </c:pt>
                <c:pt idx="47">
                  <c:v>-1.9531077599163962E-2</c:v>
                </c:pt>
                <c:pt idx="48">
                  <c:v>-2.6793935481195734E-2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2E-4738-8851-26F99AA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904824"/>
        <c:axId val="1"/>
      </c:scatterChart>
      <c:valAx>
        <c:axId val="892904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904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5161290322580638E-2"/>
          <c:y val="0.92145141978098655"/>
          <c:w val="0.89032258064516134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V536 Mon - Prim. O-C Diagr.</a:t>
            </a:r>
          </a:p>
        </c:rich>
      </c:tx>
      <c:layout>
        <c:manualLayout>
          <c:xMode val="edge"/>
          <c:yMode val="edge"/>
          <c:x val="0.2785864968542133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623267792591"/>
          <c:y val="0.14545497589659059"/>
          <c:w val="0.77546856267517483"/>
          <c:h val="0.63333520754973827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3">
                  <c:v>7.6999999982945155E-3</c:v>
                </c:pt>
                <c:pt idx="5">
                  <c:v>-1.3919600000008359</c:v>
                </c:pt>
                <c:pt idx="6">
                  <c:v>0</c:v>
                </c:pt>
                <c:pt idx="7">
                  <c:v>-2.8599999997823033E-2</c:v>
                </c:pt>
                <c:pt idx="14">
                  <c:v>0.720259999994596</c:v>
                </c:pt>
                <c:pt idx="15">
                  <c:v>-1.1092800000042189</c:v>
                </c:pt>
                <c:pt idx="16">
                  <c:v>-8.7279999999736901E-2</c:v>
                </c:pt>
                <c:pt idx="19">
                  <c:v>-5.8599999974831007E-3</c:v>
                </c:pt>
                <c:pt idx="20">
                  <c:v>-4.8600000009173527E-3</c:v>
                </c:pt>
                <c:pt idx="21">
                  <c:v>-5.9380000006058253E-2</c:v>
                </c:pt>
                <c:pt idx="22">
                  <c:v>5.6659999994735699E-2</c:v>
                </c:pt>
                <c:pt idx="25">
                  <c:v>-2.5199999945471063E-3</c:v>
                </c:pt>
                <c:pt idx="26">
                  <c:v>-4.7400000039488077E-3</c:v>
                </c:pt>
                <c:pt idx="27">
                  <c:v>3.3839999996416736E-2</c:v>
                </c:pt>
                <c:pt idx="28">
                  <c:v>3.2199999994190875E-2</c:v>
                </c:pt>
                <c:pt idx="31">
                  <c:v>6.6219999993336387E-2</c:v>
                </c:pt>
                <c:pt idx="32">
                  <c:v>-0.1134200000014971</c:v>
                </c:pt>
                <c:pt idx="34">
                  <c:v>1.2677199999961886</c:v>
                </c:pt>
                <c:pt idx="35">
                  <c:v>-0.21808000000601169</c:v>
                </c:pt>
                <c:pt idx="36">
                  <c:v>0.29332000000431435</c:v>
                </c:pt>
                <c:pt idx="37">
                  <c:v>6.7599999965750612E-3</c:v>
                </c:pt>
                <c:pt idx="40">
                  <c:v>3.719999993336387E-3</c:v>
                </c:pt>
                <c:pt idx="41">
                  <c:v>4.7599999961676076E-3</c:v>
                </c:pt>
                <c:pt idx="42">
                  <c:v>-2.8000000020256266E-4</c:v>
                </c:pt>
                <c:pt idx="43">
                  <c:v>-2.5199999945471063E-3</c:v>
                </c:pt>
                <c:pt idx="44">
                  <c:v>-2.7000000409316272E-4</c:v>
                </c:pt>
                <c:pt idx="45">
                  <c:v>1.7799999986891635E-3</c:v>
                </c:pt>
                <c:pt idx="46">
                  <c:v>2.1800000031362288E-3</c:v>
                </c:pt>
                <c:pt idx="47">
                  <c:v>2.4800000028335489E-3</c:v>
                </c:pt>
                <c:pt idx="48">
                  <c:v>-1.1000000013154931E-3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F-46F3-ACFF-423195DF0CFE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-0.25508615832645448</c:v>
                </c:pt>
                <c:pt idx="1">
                  <c:v>-0.25499808736116897</c:v>
                </c:pt>
                <c:pt idx="2">
                  <c:v>-0.2545577325347414</c:v>
                </c:pt>
                <c:pt idx="3">
                  <c:v>-0.25028629071839426</c:v>
                </c:pt>
                <c:pt idx="4">
                  <c:v>-0.23421333955378898</c:v>
                </c:pt>
                <c:pt idx="5">
                  <c:v>-0.20915714993006185</c:v>
                </c:pt>
                <c:pt idx="6">
                  <c:v>7.2493797052994066E-2</c:v>
                </c:pt>
                <c:pt idx="7">
                  <c:v>-0.20757187255492265</c:v>
                </c:pt>
                <c:pt idx="8">
                  <c:v>-0.20444535328728713</c:v>
                </c:pt>
                <c:pt idx="9">
                  <c:v>-0.20321235977329</c:v>
                </c:pt>
                <c:pt idx="10">
                  <c:v>-0.18683116023018542</c:v>
                </c:pt>
                <c:pt idx="11">
                  <c:v>-0.18216339907005352</c:v>
                </c:pt>
                <c:pt idx="12">
                  <c:v>-0.17696721211820854</c:v>
                </c:pt>
                <c:pt idx="13">
                  <c:v>-0.15591825141497201</c:v>
                </c:pt>
                <c:pt idx="14">
                  <c:v>-0.14213514534778993</c:v>
                </c:pt>
                <c:pt idx="15">
                  <c:v>-0.1357059648819478</c:v>
                </c:pt>
                <c:pt idx="16">
                  <c:v>-0.1357059648819478</c:v>
                </c:pt>
                <c:pt idx="17">
                  <c:v>-0.13425279395473694</c:v>
                </c:pt>
                <c:pt idx="18">
                  <c:v>-0.12368427812047593</c:v>
                </c:pt>
                <c:pt idx="19">
                  <c:v>-0.1206458298181259</c:v>
                </c:pt>
                <c:pt idx="20">
                  <c:v>-0.1206458298181259</c:v>
                </c:pt>
                <c:pt idx="21">
                  <c:v>-0.11412857838699826</c:v>
                </c:pt>
                <c:pt idx="22">
                  <c:v>-0.10954888819215182</c:v>
                </c:pt>
                <c:pt idx="23">
                  <c:v>-0.10025740135453069</c:v>
                </c:pt>
                <c:pt idx="24">
                  <c:v>-8.7575182353417477E-2</c:v>
                </c:pt>
                <c:pt idx="25">
                  <c:v>-6.630604423696719E-2</c:v>
                </c:pt>
                <c:pt idx="26">
                  <c:v>-6.2871276590832373E-2</c:v>
                </c:pt>
                <c:pt idx="27">
                  <c:v>-2.9492380747624683E-2</c:v>
                </c:pt>
                <c:pt idx="28">
                  <c:v>7.3212827417178383E-3</c:v>
                </c:pt>
                <c:pt idx="29">
                  <c:v>1.7581550197479569E-2</c:v>
                </c:pt>
                <c:pt idx="30">
                  <c:v>1.7581550197479569E-2</c:v>
                </c:pt>
                <c:pt idx="31">
                  <c:v>2.0619998499829609E-2</c:v>
                </c:pt>
                <c:pt idx="32">
                  <c:v>2.6608824139244182E-2</c:v>
                </c:pt>
                <c:pt idx="33">
                  <c:v>3.1320620782018881E-2</c:v>
                </c:pt>
                <c:pt idx="34">
                  <c:v>3.1628869160518158E-2</c:v>
                </c:pt>
                <c:pt idx="35">
                  <c:v>3.2509578813373248E-2</c:v>
                </c:pt>
                <c:pt idx="36">
                  <c:v>3.8674546383358835E-2</c:v>
                </c:pt>
                <c:pt idx="37">
                  <c:v>7.5840493733843384E-2</c:v>
                </c:pt>
                <c:pt idx="38">
                  <c:v>7.5884529216486141E-2</c:v>
                </c:pt>
                <c:pt idx="39">
                  <c:v>9.5612425440440019E-2</c:v>
                </c:pt>
                <c:pt idx="40">
                  <c:v>9.5920673818939303E-2</c:v>
                </c:pt>
                <c:pt idx="41">
                  <c:v>9.6096815749510317E-2</c:v>
                </c:pt>
                <c:pt idx="42">
                  <c:v>0.10604883482677277</c:v>
                </c:pt>
                <c:pt idx="43">
                  <c:v>-6.630604423696719E-2</c:v>
                </c:pt>
                <c:pt idx="44">
                  <c:v>0.10604883482677277</c:v>
                </c:pt>
                <c:pt idx="45">
                  <c:v>0.12745007939115133</c:v>
                </c:pt>
                <c:pt idx="46">
                  <c:v>0.12745007939115133</c:v>
                </c:pt>
                <c:pt idx="47">
                  <c:v>0.12745007939115133</c:v>
                </c:pt>
                <c:pt idx="48">
                  <c:v>0.14779447237210375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F-46F3-ACFF-423195DF0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100728"/>
        <c:axId val="1"/>
      </c:scatterChart>
      <c:valAx>
        <c:axId val="748100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5095628638934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10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08983362526667"/>
          <c:y val="0.92121498449057504"/>
          <c:w val="0.3035345218022383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V536 Mon - Sec. O-C Diagr.</a:t>
            </a:r>
          </a:p>
        </c:rich>
      </c:tx>
      <c:layout>
        <c:manualLayout>
          <c:xMode val="edge"/>
          <c:yMode val="edge"/>
          <c:x val="0.28775531629974821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01531966242162"/>
          <c:w val="0.7795926135927671"/>
          <c:h val="0.63444202352309453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0.31261000000085915</c:v>
                </c:pt>
                <c:pt idx="1">
                  <c:v>-0.91537000000244007</c:v>
                </c:pt>
                <c:pt idx="2">
                  <c:v>-0.55027000000336557</c:v>
                </c:pt>
                <c:pt idx="4">
                  <c:v>-0.50365000000238069</c:v>
                </c:pt>
                <c:pt idx="8">
                  <c:v>-0.78789000000688247</c:v>
                </c:pt>
                <c:pt idx="9">
                  <c:v>0.42439000000013039</c:v>
                </c:pt>
                <c:pt idx="10">
                  <c:v>-0.55389000000286615</c:v>
                </c:pt>
                <c:pt idx="11">
                  <c:v>-0.59982999999920139</c:v>
                </c:pt>
                <c:pt idx="12">
                  <c:v>-0.4896500000031665</c:v>
                </c:pt>
                <c:pt idx="13">
                  <c:v>-0.58886999999958789</c:v>
                </c:pt>
                <c:pt idx="17">
                  <c:v>-0.55795000000216532</c:v>
                </c:pt>
                <c:pt idx="18">
                  <c:v>-0.62954999999783468</c:v>
                </c:pt>
                <c:pt idx="23">
                  <c:v>-1.0232300000061514</c:v>
                </c:pt>
                <c:pt idx="24">
                  <c:v>-0.51135000000067521</c:v>
                </c:pt>
                <c:pt idx="29">
                  <c:v>-0.57647000000724802</c:v>
                </c:pt>
                <c:pt idx="30">
                  <c:v>-0.48547000000689877</c:v>
                </c:pt>
                <c:pt idx="33">
                  <c:v>-0.22335000000748551</c:v>
                </c:pt>
                <c:pt idx="38">
                  <c:v>-0.55723000000580214</c:v>
                </c:pt>
                <c:pt idx="39">
                  <c:v>-0.55825000000186265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AC-4F7B-84AA-A58AF6634A16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-3719.5</c:v>
                </c:pt>
                <c:pt idx="1">
                  <c:v>-3718.5</c:v>
                </c:pt>
                <c:pt idx="2">
                  <c:v>-3713.5</c:v>
                </c:pt>
                <c:pt idx="3">
                  <c:v>-3665</c:v>
                </c:pt>
                <c:pt idx="4">
                  <c:v>-3482.5</c:v>
                </c:pt>
                <c:pt idx="5">
                  <c:v>-3198</c:v>
                </c:pt>
                <c:pt idx="6">
                  <c:v>0</c:v>
                </c:pt>
                <c:pt idx="7">
                  <c:v>-3180</c:v>
                </c:pt>
                <c:pt idx="8">
                  <c:v>-3144.5</c:v>
                </c:pt>
                <c:pt idx="9">
                  <c:v>-3130.5</c:v>
                </c:pt>
                <c:pt idx="10">
                  <c:v>-2944.5</c:v>
                </c:pt>
                <c:pt idx="11">
                  <c:v>-2891.5</c:v>
                </c:pt>
                <c:pt idx="12">
                  <c:v>-2832.5</c:v>
                </c:pt>
                <c:pt idx="13">
                  <c:v>-2593.5</c:v>
                </c:pt>
                <c:pt idx="14">
                  <c:v>-2437</c:v>
                </c:pt>
                <c:pt idx="15">
                  <c:v>-2364</c:v>
                </c:pt>
                <c:pt idx="16">
                  <c:v>-2364</c:v>
                </c:pt>
                <c:pt idx="17">
                  <c:v>-2347.5</c:v>
                </c:pt>
                <c:pt idx="18">
                  <c:v>-2227.5</c:v>
                </c:pt>
                <c:pt idx="19">
                  <c:v>-2193</c:v>
                </c:pt>
                <c:pt idx="20">
                  <c:v>-2193</c:v>
                </c:pt>
                <c:pt idx="21">
                  <c:v>-2119</c:v>
                </c:pt>
                <c:pt idx="22">
                  <c:v>-2067</c:v>
                </c:pt>
                <c:pt idx="23">
                  <c:v>-1961.5</c:v>
                </c:pt>
                <c:pt idx="24">
                  <c:v>-1817.5</c:v>
                </c:pt>
                <c:pt idx="25">
                  <c:v>-1576</c:v>
                </c:pt>
                <c:pt idx="26">
                  <c:v>-1537</c:v>
                </c:pt>
                <c:pt idx="27">
                  <c:v>-1158</c:v>
                </c:pt>
                <c:pt idx="28">
                  <c:v>-740</c:v>
                </c:pt>
                <c:pt idx="29">
                  <c:v>-623.5</c:v>
                </c:pt>
                <c:pt idx="30">
                  <c:v>-623.5</c:v>
                </c:pt>
                <c:pt idx="31">
                  <c:v>-589</c:v>
                </c:pt>
                <c:pt idx="32">
                  <c:v>-521</c:v>
                </c:pt>
                <c:pt idx="33">
                  <c:v>-467.5</c:v>
                </c:pt>
                <c:pt idx="34">
                  <c:v>-464</c:v>
                </c:pt>
                <c:pt idx="35">
                  <c:v>-454</c:v>
                </c:pt>
                <c:pt idx="36">
                  <c:v>-384</c:v>
                </c:pt>
                <c:pt idx="37">
                  <c:v>38</c:v>
                </c:pt>
                <c:pt idx="38">
                  <c:v>38.5</c:v>
                </c:pt>
                <c:pt idx="39">
                  <c:v>262.5</c:v>
                </c:pt>
                <c:pt idx="40">
                  <c:v>266</c:v>
                </c:pt>
                <c:pt idx="41">
                  <c:v>268</c:v>
                </c:pt>
                <c:pt idx="42">
                  <c:v>381</c:v>
                </c:pt>
                <c:pt idx="43">
                  <c:v>-1576</c:v>
                </c:pt>
                <c:pt idx="44">
                  <c:v>381</c:v>
                </c:pt>
                <c:pt idx="45">
                  <c:v>624</c:v>
                </c:pt>
                <c:pt idx="46">
                  <c:v>624</c:v>
                </c:pt>
                <c:pt idx="47">
                  <c:v>624</c:v>
                </c:pt>
                <c:pt idx="48">
                  <c:v>855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0.11703265924328198</c:v>
                </c:pt>
                <c:pt idx="1">
                  <c:v>0.11700121830006972</c:v>
                </c:pt>
                <c:pt idx="2">
                  <c:v>0.11684401358400842</c:v>
                </c:pt>
                <c:pt idx="3">
                  <c:v>0.11531912783821388</c:v>
                </c:pt>
                <c:pt idx="4">
                  <c:v>0.10958115570197666</c:v>
                </c:pt>
                <c:pt idx="5">
                  <c:v>0.10063620735808904</c:v>
                </c:pt>
                <c:pt idx="6">
                  <c:v>8.8070965285508415E-5</c:v>
                </c:pt>
                <c:pt idx="7">
                  <c:v>0.10007027038026838</c:v>
                </c:pt>
                <c:pt idx="8">
                  <c:v>9.8954116896233194E-2</c:v>
                </c:pt>
                <c:pt idx="9">
                  <c:v>9.8513943691261568E-2</c:v>
                </c:pt>
                <c:pt idx="10">
                  <c:v>9.2665928253781435E-2</c:v>
                </c:pt>
                <c:pt idx="11">
                  <c:v>9.0999558263531719E-2</c:v>
                </c:pt>
                <c:pt idx="12">
                  <c:v>8.9144542614008462E-2</c:v>
                </c:pt>
                <c:pt idx="13">
                  <c:v>8.1630157186278612E-2</c:v>
                </c:pt>
                <c:pt idx="14">
                  <c:v>7.6709649573560121E-2</c:v>
                </c:pt>
                <c:pt idx="15">
                  <c:v>7.4414460719065226E-2</c:v>
                </c:pt>
                <c:pt idx="16">
                  <c:v>7.4414460719065226E-2</c:v>
                </c:pt>
                <c:pt idx="17">
                  <c:v>7.3895685156062957E-2</c:v>
                </c:pt>
                <c:pt idx="18">
                  <c:v>7.0122771970591913E-2</c:v>
                </c:pt>
                <c:pt idx="19">
                  <c:v>6.9038059429768983E-2</c:v>
                </c:pt>
                <c:pt idx="20">
                  <c:v>6.9038059429768983E-2</c:v>
                </c:pt>
                <c:pt idx="21">
                  <c:v>6.6711429632061836E-2</c:v>
                </c:pt>
                <c:pt idx="22">
                  <c:v>6.5076500585024372E-2</c:v>
                </c:pt>
                <c:pt idx="23">
                  <c:v>6.1759481076131072E-2</c:v>
                </c:pt>
                <c:pt idx="24">
                  <c:v>5.7231985253565806E-2</c:v>
                </c:pt>
                <c:pt idx="25">
                  <c:v>4.9638997467805319E-2</c:v>
                </c:pt>
                <c:pt idx="26">
                  <c:v>4.8412800682527221E-2</c:v>
                </c:pt>
                <c:pt idx="27">
                  <c:v>3.6496683205081155E-2</c:v>
                </c:pt>
                <c:pt idx="28">
                  <c:v>2.3354368942356991E-2</c:v>
                </c:pt>
                <c:pt idx="29">
                  <c:v>1.9691499058128847E-2</c:v>
                </c:pt>
                <c:pt idx="30">
                  <c:v>1.9691499058128847E-2</c:v>
                </c:pt>
                <c:pt idx="31">
                  <c:v>1.8606786517305917E-2</c:v>
                </c:pt>
                <c:pt idx="32">
                  <c:v>1.6468802378872324E-2</c:v>
                </c:pt>
                <c:pt idx="33">
                  <c:v>1.4786711917016479E-2</c:v>
                </c:pt>
                <c:pt idx="34">
                  <c:v>1.4676668615773575E-2</c:v>
                </c:pt>
                <c:pt idx="35">
                  <c:v>1.4362259183650987E-2</c:v>
                </c:pt>
                <c:pt idx="36">
                  <c:v>1.2161393158792872E-2</c:v>
                </c:pt>
                <c:pt idx="37">
                  <c:v>-1.1066848767803245E-3</c:v>
                </c:pt>
                <c:pt idx="38">
                  <c:v>-1.1224053483864539E-3</c:v>
                </c:pt>
                <c:pt idx="39">
                  <c:v>-8.1651766279324158E-3</c:v>
                </c:pt>
                <c:pt idx="40">
                  <c:v>-8.2752199291753221E-3</c:v>
                </c:pt>
                <c:pt idx="41">
                  <c:v>-8.3381018155998399E-3</c:v>
                </c:pt>
                <c:pt idx="42">
                  <c:v>-1.189092839858508E-2</c:v>
                </c:pt>
                <c:pt idx="43">
                  <c:v>4.9638997467805319E-2</c:v>
                </c:pt>
                <c:pt idx="44">
                  <c:v>-1.189092839858508E-2</c:v>
                </c:pt>
                <c:pt idx="45">
                  <c:v>-1.9531077599163962E-2</c:v>
                </c:pt>
                <c:pt idx="46">
                  <c:v>-1.9531077599163962E-2</c:v>
                </c:pt>
                <c:pt idx="47">
                  <c:v>-1.9531077599163962E-2</c:v>
                </c:pt>
                <c:pt idx="48">
                  <c:v>-2.6793935481195734E-2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AC-4F7B-84AA-A58AF663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905544"/>
        <c:axId val="1"/>
      </c:scatterChart>
      <c:valAx>
        <c:axId val="892905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905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145141978098655"/>
          <c:w val="0.3306126734158230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0</xdr:row>
      <xdr:rowOff>47625</xdr:rowOff>
    </xdr:from>
    <xdr:to>
      <xdr:col>18</xdr:col>
      <xdr:colOff>390524</xdr:colOff>
      <xdr:row>18</xdr:row>
      <xdr:rowOff>104775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380ECC37-D7FC-E4BF-90D9-625D0428D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12</xdr:col>
      <xdr:colOff>533400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7E6AB8-0CEA-36DF-7DC4-DB7AD4263B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20</xdr:row>
      <xdr:rowOff>133350</xdr:rowOff>
    </xdr:from>
    <xdr:to>
      <xdr:col>12</xdr:col>
      <xdr:colOff>552450</xdr:colOff>
      <xdr:row>40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5395D95-2180-60BF-0C08-772B5F0D7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R52" TargetMode="External"/><Relationship Id="rId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R5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G8" sqref="G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7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ht="13.5" thickBot="1" x14ac:dyDescent="0.25">
      <c r="A2" t="s">
        <v>13</v>
      </c>
      <c r="B2" t="s">
        <v>32</v>
      </c>
      <c r="C2" s="5"/>
      <c r="D2" s="5"/>
    </row>
    <row r="3" spans="1:7" ht="14.25" thickTop="1" thickBot="1" x14ac:dyDescent="0.25">
      <c r="A3" s="7" t="s">
        <v>24</v>
      </c>
      <c r="B3" s="5" t="s">
        <v>25</v>
      </c>
      <c r="C3" s="20">
        <v>52506.44</v>
      </c>
      <c r="D3" s="21">
        <v>6.1339800000000002</v>
      </c>
    </row>
    <row r="4" spans="1:7" ht="14.25" thickTop="1" thickBot="1" x14ac:dyDescent="0.25">
      <c r="A4" s="7" t="s">
        <v>24</v>
      </c>
      <c r="B4" s="5" t="s">
        <v>26</v>
      </c>
      <c r="C4" s="20">
        <v>52502.82</v>
      </c>
      <c r="D4" s="21">
        <v>6.1339790000000001</v>
      </c>
      <c r="E4" s="27" t="s">
        <v>28</v>
      </c>
      <c r="F4" s="22" t="s">
        <v>27</v>
      </c>
    </row>
    <row r="5" spans="1:7" ht="13.5" thickTop="1" x14ac:dyDescent="0.2">
      <c r="A5" s="61" t="s">
        <v>217</v>
      </c>
      <c r="C5" s="62">
        <v>-9.5</v>
      </c>
    </row>
    <row r="6" spans="1:7" x14ac:dyDescent="0.2">
      <c r="A6" s="7" t="s">
        <v>1</v>
      </c>
    </row>
    <row r="7" spans="1:7" x14ac:dyDescent="0.2">
      <c r="A7" t="s">
        <v>2</v>
      </c>
      <c r="C7">
        <f>C3</f>
        <v>52506.44</v>
      </c>
    </row>
    <row r="8" spans="1:7" x14ac:dyDescent="0.2">
      <c r="A8" t="s">
        <v>3</v>
      </c>
      <c r="C8">
        <f>D3</f>
        <v>6.1339800000000002</v>
      </c>
    </row>
    <row r="9" spans="1:7" x14ac:dyDescent="0.2">
      <c r="A9" s="29" t="s">
        <v>34</v>
      </c>
      <c r="B9" s="29"/>
      <c r="C9" s="30">
        <v>21</v>
      </c>
      <c r="D9" s="30">
        <v>21</v>
      </c>
      <c r="E9" s="28" t="str">
        <f>"G"&amp;C9</f>
        <v>G21</v>
      </c>
    </row>
    <row r="10" spans="1:7" ht="13.5" thickBot="1" x14ac:dyDescent="0.25">
      <c r="A10" s="32"/>
      <c r="B10" s="32"/>
      <c r="C10" s="6" t="s">
        <v>15</v>
      </c>
      <c r="D10" s="6" t="s">
        <v>16</v>
      </c>
    </row>
    <row r="11" spans="1:7" x14ac:dyDescent="0.2">
      <c r="A11" s="32" t="s">
        <v>35</v>
      </c>
      <c r="B11" s="32"/>
      <c r="C11" s="31">
        <f ca="1">INTERCEPT(INDIRECT(C14):R$935,INDIRECT(C13):$F$935)</f>
        <v>7.2493797052994066E-2</v>
      </c>
      <c r="D11" s="31">
        <f ca="1">INTERCEPT(INDIRECT(D14):S$935,INDIRECT(D13):$F$935)</f>
        <v>-0.56283452615591256</v>
      </c>
    </row>
    <row r="12" spans="1:7" x14ac:dyDescent="0.2">
      <c r="A12" s="32" t="s">
        <v>36</v>
      </c>
      <c r="B12" s="32"/>
      <c r="C12" s="31">
        <f ca="1">SLOPE(INDIRECT(C14):R$935,INDIRECT(C13):$F$935)</f>
        <v>8.8070965285508415E-5</v>
      </c>
      <c r="D12" s="31">
        <f ca="1">SLOPE(INDIRECT(D14):S$935,INDIRECT(D13):$F$935)</f>
        <v>-3.1440943212258762E-5</v>
      </c>
      <c r="F12" s="29" t="s">
        <v>211</v>
      </c>
      <c r="G12" s="57">
        <v>1</v>
      </c>
    </row>
    <row r="13" spans="1:7" x14ac:dyDescent="0.2">
      <c r="A13" s="29" t="s">
        <v>37</v>
      </c>
      <c r="B13" s="29"/>
      <c r="C13" s="30" t="str">
        <f>"F"&amp;C9</f>
        <v>F21</v>
      </c>
      <c r="D13" s="30" t="str">
        <f>"F"&amp;D9</f>
        <v>F21</v>
      </c>
      <c r="F13" s="29" t="s">
        <v>212</v>
      </c>
      <c r="G13" s="58">
        <f ca="1">NOW()+15018.5+$C$5/24</f>
        <v>60365.712628240741</v>
      </c>
    </row>
    <row r="14" spans="1:7" x14ac:dyDescent="0.2">
      <c r="A14" s="29" t="s">
        <v>38</v>
      </c>
      <c r="B14" s="29"/>
      <c r="C14" s="30" t="str">
        <f>"R"&amp;C9</f>
        <v>R21</v>
      </c>
      <c r="D14" s="30" t="str">
        <f>"S"&amp;D9</f>
        <v>S21</v>
      </c>
      <c r="F14" s="29" t="s">
        <v>213</v>
      </c>
      <c r="G14" s="31">
        <f ca="1">ROUND(2*(G13-$C$7)/$C$8,0)/2+G12</f>
        <v>1282.5</v>
      </c>
    </row>
    <row r="15" spans="1:7" x14ac:dyDescent="0.2">
      <c r="A15" s="34" t="s">
        <v>40</v>
      </c>
      <c r="B15" s="32"/>
      <c r="C15" s="35">
        <f ca="1">($C7+C11)+($C8+C12)*INT(MAX($F21:$F3533))</f>
        <v>57751.140694472371</v>
      </c>
      <c r="D15" s="35">
        <f ca="1">($C7+D11)+($C8+D12)*INT(MAX($F21:$F3533))</f>
        <v>57750.403183467395</v>
      </c>
      <c r="F15" s="29" t="s">
        <v>214</v>
      </c>
      <c r="G15" s="27">
        <f ca="1">ROUND(2*(G13-$C$15)/$C$16,0)/2+G12</f>
        <v>427</v>
      </c>
    </row>
    <row r="16" spans="1:7" x14ac:dyDescent="0.2">
      <c r="A16" s="36" t="s">
        <v>41</v>
      </c>
      <c r="B16" s="32"/>
      <c r="C16" s="37">
        <f ca="1">+$C8+C12</f>
        <v>6.1340680709652853</v>
      </c>
      <c r="D16" s="31">
        <f ca="1">+$C8+D12</f>
        <v>6.1339485590567877</v>
      </c>
      <c r="F16" s="29" t="s">
        <v>215</v>
      </c>
      <c r="G16" s="59">
        <f ca="1">+$C$15+$C$16*G15-15018.5-$C$5/24</f>
        <v>45352.283594107881</v>
      </c>
    </row>
    <row r="17" spans="1:22" ht="13.5" thickBot="1" x14ac:dyDescent="0.25">
      <c r="A17" s="19" t="s">
        <v>42</v>
      </c>
      <c r="C17">
        <f>COUNT(C21:C1247)</f>
        <v>49</v>
      </c>
      <c r="G17" s="60" t="s">
        <v>216</v>
      </c>
    </row>
    <row r="18" spans="1:22" ht="14.25" thickTop="1" thickBot="1" x14ac:dyDescent="0.25">
      <c r="A18" s="7" t="s">
        <v>18</v>
      </c>
      <c r="C18" s="3">
        <f ca="1">+C15</f>
        <v>57751.140694472371</v>
      </c>
      <c r="D18" s="4">
        <f ca="1">+C16</f>
        <v>6.1340680709652853</v>
      </c>
      <c r="E18" s="28">
        <f>R19</f>
        <v>30</v>
      </c>
    </row>
    <row r="19" spans="1:22" ht="14.25" thickTop="1" thickBot="1" x14ac:dyDescent="0.25">
      <c r="A19" s="7" t="s">
        <v>19</v>
      </c>
      <c r="C19" s="3">
        <f ca="1">+D15</f>
        <v>57750.403183467395</v>
      </c>
      <c r="D19" s="4">
        <f ca="1">+D16</f>
        <v>6.1339485590567877</v>
      </c>
      <c r="E19" s="28">
        <f>S19</f>
        <v>19</v>
      </c>
      <c r="R19">
        <f>COUNT(R21:R322)</f>
        <v>30</v>
      </c>
      <c r="S19">
        <f>COUNT(S21:S322)</f>
        <v>19</v>
      </c>
    </row>
    <row r="20" spans="1:22" ht="14.25" thickTop="1" thickBot="1" x14ac:dyDescent="0.25">
      <c r="A20" s="6" t="s">
        <v>4</v>
      </c>
      <c r="B20" s="6" t="s">
        <v>5</v>
      </c>
      <c r="C20" s="6" t="s">
        <v>6</v>
      </c>
      <c r="D20" s="6" t="s">
        <v>11</v>
      </c>
      <c r="E20" s="6" t="s">
        <v>7</v>
      </c>
      <c r="F20" s="6" t="s">
        <v>8</v>
      </c>
      <c r="G20" s="6" t="s">
        <v>9</v>
      </c>
      <c r="H20" s="9" t="s">
        <v>10</v>
      </c>
      <c r="I20" s="9" t="s">
        <v>52</v>
      </c>
      <c r="J20" s="9" t="s">
        <v>45</v>
      </c>
      <c r="K20" s="9" t="s">
        <v>22</v>
      </c>
      <c r="L20" s="9" t="s">
        <v>23</v>
      </c>
      <c r="M20" s="9" t="s">
        <v>14</v>
      </c>
      <c r="N20" s="9" t="s">
        <v>17</v>
      </c>
      <c r="O20" s="9" t="s">
        <v>20</v>
      </c>
      <c r="P20" s="8" t="s">
        <v>21</v>
      </c>
      <c r="Q20" s="6" t="s">
        <v>12</v>
      </c>
      <c r="R20" s="10" t="s">
        <v>15</v>
      </c>
      <c r="S20" s="10" t="s">
        <v>16</v>
      </c>
    </row>
    <row r="21" spans="1:22" x14ac:dyDescent="0.2">
      <c r="A21" s="23" t="s">
        <v>59</v>
      </c>
      <c r="B21" s="26" t="s">
        <v>25</v>
      </c>
      <c r="C21" s="23">
        <v>29691.414000000001</v>
      </c>
      <c r="D21" s="23" t="s">
        <v>52</v>
      </c>
      <c r="E21">
        <f t="shared" ref="E21:E52" si="0">+(C21-C$7)/C$8</f>
        <v>-3719.449036351602</v>
      </c>
      <c r="F21">
        <f t="shared" ref="F21:F52" si="1">ROUND(2*E21,0)/2</f>
        <v>-3719.5</v>
      </c>
      <c r="G21">
        <f t="shared" ref="G21:G52" si="2">+C21-(C$7+F21*C$8)</f>
        <v>0.31261000000085915</v>
      </c>
      <c r="I21">
        <f>+G21</f>
        <v>0.31261000000085915</v>
      </c>
      <c r="O21">
        <f t="shared" ref="O21:O52" ca="1" si="3">+C$11+C$12*$F21</f>
        <v>-0.25508615832645448</v>
      </c>
      <c r="P21">
        <f t="shared" ref="P21:P52" ca="1" si="4">+C$12+D$12*$F21</f>
        <v>0.11703265924328198</v>
      </c>
      <c r="Q21" s="2">
        <f t="shared" ref="Q21:Q52" si="5">+C21-15018.5</f>
        <v>14672.914000000001</v>
      </c>
      <c r="S21">
        <f>G21</f>
        <v>0.31261000000085915</v>
      </c>
      <c r="V21" s="5" t="str">
        <f t="shared" ref="V21:V52" si="6">IF(F21=INT(F21),"I","II")</f>
        <v>II</v>
      </c>
    </row>
    <row r="22" spans="1:22" x14ac:dyDescent="0.2">
      <c r="A22" s="13" t="s">
        <v>59</v>
      </c>
      <c r="B22" s="5" t="s">
        <v>25</v>
      </c>
      <c r="C22" s="12">
        <v>29696.32</v>
      </c>
      <c r="D22" s="14" t="s">
        <v>52</v>
      </c>
      <c r="E22">
        <f t="shared" si="0"/>
        <v>-3718.6492293747292</v>
      </c>
      <c r="F22">
        <f t="shared" si="1"/>
        <v>-3718.5</v>
      </c>
      <c r="G22">
        <f t="shared" si="2"/>
        <v>-0.91537000000244007</v>
      </c>
      <c r="I22">
        <f>+G22</f>
        <v>-0.91537000000244007</v>
      </c>
      <c r="O22">
        <f t="shared" ca="1" si="3"/>
        <v>-0.25499808736116897</v>
      </c>
      <c r="P22">
        <f t="shared" ca="1" si="4"/>
        <v>0.11700121830006972</v>
      </c>
      <c r="Q22" s="2">
        <f t="shared" si="5"/>
        <v>14677.82</v>
      </c>
      <c r="S22">
        <f>G22</f>
        <v>-0.91537000000244007</v>
      </c>
      <c r="V22" s="5" t="str">
        <f t="shared" si="6"/>
        <v>II</v>
      </c>
    </row>
    <row r="23" spans="1:22" x14ac:dyDescent="0.2">
      <c r="A23" s="11" t="s">
        <v>59</v>
      </c>
      <c r="B23" s="51" t="s">
        <v>25</v>
      </c>
      <c r="C23" s="12">
        <v>29727.355</v>
      </c>
      <c r="D23" s="12" t="s">
        <v>52</v>
      </c>
      <c r="E23">
        <f t="shared" si="0"/>
        <v>-3713.5897084763892</v>
      </c>
      <c r="F23">
        <f t="shared" si="1"/>
        <v>-3713.5</v>
      </c>
      <c r="G23">
        <f t="shared" si="2"/>
        <v>-0.55027000000336557</v>
      </c>
      <c r="I23">
        <f>+G23</f>
        <v>-0.55027000000336557</v>
      </c>
      <c r="O23">
        <f t="shared" ca="1" si="3"/>
        <v>-0.2545577325347414</v>
      </c>
      <c r="P23">
        <f t="shared" ca="1" si="4"/>
        <v>0.11684401358400842</v>
      </c>
      <c r="Q23" s="2">
        <f t="shared" si="5"/>
        <v>14708.855</v>
      </c>
      <c r="S23">
        <f>G23</f>
        <v>-0.55027000000336557</v>
      </c>
      <c r="V23" s="5" t="str">
        <f t="shared" si="6"/>
        <v>II</v>
      </c>
    </row>
    <row r="24" spans="1:22" x14ac:dyDescent="0.2">
      <c r="A24" s="11" t="s">
        <v>59</v>
      </c>
      <c r="B24" s="51" t="s">
        <v>25</v>
      </c>
      <c r="C24" s="12">
        <v>30025.411</v>
      </c>
      <c r="D24" s="12" t="s">
        <v>52</v>
      </c>
      <c r="E24">
        <f t="shared" si="0"/>
        <v>-3664.9987446975701</v>
      </c>
      <c r="F24">
        <f t="shared" si="1"/>
        <v>-3665</v>
      </c>
      <c r="G24">
        <f t="shared" si="2"/>
        <v>7.6999999982945155E-3</v>
      </c>
      <c r="I24">
        <f>+G24</f>
        <v>7.6999999982945155E-3</v>
      </c>
      <c r="O24">
        <f t="shared" ca="1" si="3"/>
        <v>-0.25028629071839426</v>
      </c>
      <c r="P24">
        <f t="shared" ca="1" si="4"/>
        <v>0.11531912783821388</v>
      </c>
      <c r="Q24" s="2">
        <f t="shared" si="5"/>
        <v>15006.911</v>
      </c>
      <c r="R24">
        <f>G24</f>
        <v>7.6999999982945155E-3</v>
      </c>
      <c r="V24" s="5" t="str">
        <f t="shared" si="6"/>
        <v>I</v>
      </c>
    </row>
    <row r="25" spans="1:22" x14ac:dyDescent="0.2">
      <c r="A25" s="15" t="s">
        <v>59</v>
      </c>
      <c r="B25" s="17" t="s">
        <v>25</v>
      </c>
      <c r="C25" s="16">
        <v>31144.350999999999</v>
      </c>
      <c r="D25" s="16" t="s">
        <v>52</v>
      </c>
      <c r="E25">
        <f t="shared" si="0"/>
        <v>-3482.5821081907675</v>
      </c>
      <c r="F25">
        <f t="shared" si="1"/>
        <v>-3482.5</v>
      </c>
      <c r="G25">
        <f t="shared" si="2"/>
        <v>-0.50365000000238069</v>
      </c>
      <c r="I25">
        <f>+G25</f>
        <v>-0.50365000000238069</v>
      </c>
      <c r="O25">
        <f t="shared" ca="1" si="3"/>
        <v>-0.23421333955378898</v>
      </c>
      <c r="P25">
        <f t="shared" ca="1" si="4"/>
        <v>0.10958115570197666</v>
      </c>
      <c r="Q25" s="2">
        <f t="shared" si="5"/>
        <v>16125.850999999999</v>
      </c>
      <c r="S25">
        <f>G25</f>
        <v>-0.50365000000238069</v>
      </c>
      <c r="V25" s="5" t="str">
        <f t="shared" si="6"/>
        <v>II</v>
      </c>
    </row>
    <row r="26" spans="1:22" x14ac:dyDescent="0.2">
      <c r="A26" s="13" t="s">
        <v>59</v>
      </c>
      <c r="B26" s="5" t="s">
        <v>25</v>
      </c>
      <c r="C26" s="12">
        <v>32888.58</v>
      </c>
      <c r="D26" s="14" t="s">
        <v>52</v>
      </c>
      <c r="E26">
        <f t="shared" si="0"/>
        <v>-3198.2269260740986</v>
      </c>
      <c r="F26">
        <f t="shared" si="1"/>
        <v>-3198</v>
      </c>
      <c r="G26">
        <f t="shared" si="2"/>
        <v>-1.3919600000008359</v>
      </c>
      <c r="I26">
        <f>+G26</f>
        <v>-1.3919600000008359</v>
      </c>
      <c r="O26">
        <f t="shared" ca="1" si="3"/>
        <v>-0.20915714993006185</v>
      </c>
      <c r="P26">
        <f t="shared" ca="1" si="4"/>
        <v>0.10063620735808904</v>
      </c>
      <c r="Q26" s="2">
        <f t="shared" si="5"/>
        <v>17870.080000000002</v>
      </c>
      <c r="R26">
        <f>G26</f>
        <v>-1.3919600000008359</v>
      </c>
      <c r="V26" s="5" t="str">
        <f t="shared" si="6"/>
        <v>I</v>
      </c>
    </row>
    <row r="27" spans="1:22" x14ac:dyDescent="0.2">
      <c r="A27" s="24" t="s">
        <v>29</v>
      </c>
      <c r="B27" s="25" t="s">
        <v>25</v>
      </c>
      <c r="C27" s="24">
        <v>52506.44</v>
      </c>
      <c r="D27" s="24"/>
      <c r="E27">
        <f t="shared" si="0"/>
        <v>0</v>
      </c>
      <c r="F27">
        <f t="shared" si="1"/>
        <v>0</v>
      </c>
      <c r="G27">
        <f t="shared" si="2"/>
        <v>0</v>
      </c>
      <c r="H27">
        <f t="shared" ref="H21:H52" si="7">+G27</f>
        <v>0</v>
      </c>
      <c r="O27">
        <f t="shared" ca="1" si="3"/>
        <v>7.2493797052994066E-2</v>
      </c>
      <c r="P27">
        <f t="shared" ca="1" si="4"/>
        <v>8.8070965285508415E-5</v>
      </c>
      <c r="Q27" s="2">
        <f t="shared" si="5"/>
        <v>37487.94</v>
      </c>
      <c r="R27">
        <f>G27</f>
        <v>0</v>
      </c>
      <c r="V27" s="5" t="str">
        <f t="shared" si="6"/>
        <v>I</v>
      </c>
    </row>
    <row r="28" spans="1:22" x14ac:dyDescent="0.2">
      <c r="A28" s="15" t="s">
        <v>59</v>
      </c>
      <c r="B28" s="17" t="s">
        <v>25</v>
      </c>
      <c r="C28" s="12">
        <v>33000.355000000003</v>
      </c>
      <c r="D28" s="12" t="s">
        <v>52</v>
      </c>
      <c r="E28">
        <f t="shared" si="0"/>
        <v>-3180.004662551883</v>
      </c>
      <c r="F28">
        <f t="shared" si="1"/>
        <v>-3180</v>
      </c>
      <c r="G28">
        <f t="shared" si="2"/>
        <v>-2.8599999997823033E-2</v>
      </c>
      <c r="I28">
        <f>+G28</f>
        <v>-2.8599999997823033E-2</v>
      </c>
      <c r="O28">
        <f t="shared" ca="1" si="3"/>
        <v>-0.20757187255492265</v>
      </c>
      <c r="P28">
        <f t="shared" ca="1" si="4"/>
        <v>0.10007027038026838</v>
      </c>
      <c r="Q28" s="2">
        <f t="shared" si="5"/>
        <v>17981.855000000003</v>
      </c>
      <c r="R28">
        <f>G28</f>
        <v>-2.8599999997823033E-2</v>
      </c>
      <c r="V28" s="5" t="str">
        <f t="shared" si="6"/>
        <v>I</v>
      </c>
    </row>
    <row r="29" spans="1:22" x14ac:dyDescent="0.2">
      <c r="A29" s="15" t="s">
        <v>59</v>
      </c>
      <c r="B29" s="17" t="s">
        <v>25</v>
      </c>
      <c r="C29" s="12">
        <v>33217.351999999999</v>
      </c>
      <c r="D29" s="12" t="s">
        <v>52</v>
      </c>
      <c r="E29">
        <f t="shared" si="0"/>
        <v>-3144.6284467833289</v>
      </c>
      <c r="F29">
        <f t="shared" si="1"/>
        <v>-3144.5</v>
      </c>
      <c r="G29">
        <f t="shared" si="2"/>
        <v>-0.78789000000688247</v>
      </c>
      <c r="I29">
        <f>+G29</f>
        <v>-0.78789000000688247</v>
      </c>
      <c r="O29">
        <f t="shared" ca="1" si="3"/>
        <v>-0.20444535328728713</v>
      </c>
      <c r="P29">
        <f t="shared" ca="1" si="4"/>
        <v>9.8954116896233194E-2</v>
      </c>
      <c r="Q29" s="2">
        <f t="shared" si="5"/>
        <v>18198.851999999999</v>
      </c>
      <c r="S29">
        <f t="shared" ref="S29:S34" si="8">G29</f>
        <v>-0.78789000000688247</v>
      </c>
      <c r="V29" s="5" t="str">
        <f t="shared" si="6"/>
        <v>II</v>
      </c>
    </row>
    <row r="30" spans="1:22" x14ac:dyDescent="0.2">
      <c r="A30" s="18" t="s">
        <v>59</v>
      </c>
      <c r="B30" s="5" t="s">
        <v>25</v>
      </c>
      <c r="C30" s="12">
        <v>33304.44</v>
      </c>
      <c r="D30" s="14" t="s">
        <v>52</v>
      </c>
      <c r="E30">
        <f t="shared" si="0"/>
        <v>-3130.4308132729484</v>
      </c>
      <c r="F30">
        <f t="shared" si="1"/>
        <v>-3130.5</v>
      </c>
      <c r="G30">
        <f t="shared" si="2"/>
        <v>0.42439000000013039</v>
      </c>
      <c r="I30">
        <f>+G30</f>
        <v>0.42439000000013039</v>
      </c>
      <c r="O30">
        <f t="shared" ca="1" si="3"/>
        <v>-0.20321235977329</v>
      </c>
      <c r="P30">
        <f t="shared" ca="1" si="4"/>
        <v>9.8513943691261568E-2</v>
      </c>
      <c r="Q30" s="2">
        <f t="shared" si="5"/>
        <v>18285.940000000002</v>
      </c>
      <c r="S30">
        <f t="shared" si="8"/>
        <v>0.42439000000013039</v>
      </c>
      <c r="V30" s="5" t="str">
        <f t="shared" si="6"/>
        <v>II</v>
      </c>
    </row>
    <row r="31" spans="1:22" x14ac:dyDescent="0.2">
      <c r="A31" s="18" t="s">
        <v>59</v>
      </c>
      <c r="B31" s="5" t="s">
        <v>25</v>
      </c>
      <c r="C31" s="12">
        <v>34444.381999999998</v>
      </c>
      <c r="D31" s="14" t="s">
        <v>52</v>
      </c>
      <c r="E31">
        <f t="shared" si="0"/>
        <v>-2944.5902986315577</v>
      </c>
      <c r="F31">
        <f t="shared" si="1"/>
        <v>-2944.5</v>
      </c>
      <c r="G31">
        <f t="shared" si="2"/>
        <v>-0.55389000000286615</v>
      </c>
      <c r="I31">
        <f>+G31</f>
        <v>-0.55389000000286615</v>
      </c>
      <c r="O31">
        <f t="shared" ca="1" si="3"/>
        <v>-0.18683116023018542</v>
      </c>
      <c r="P31">
        <f t="shared" ca="1" si="4"/>
        <v>9.2665928253781435E-2</v>
      </c>
      <c r="Q31" s="2">
        <f t="shared" si="5"/>
        <v>19425.881999999998</v>
      </c>
      <c r="S31">
        <f t="shared" si="8"/>
        <v>-0.55389000000286615</v>
      </c>
      <c r="V31" s="5" t="str">
        <f t="shared" si="6"/>
        <v>II</v>
      </c>
    </row>
    <row r="32" spans="1:22" x14ac:dyDescent="0.2">
      <c r="A32" s="18" t="s">
        <v>59</v>
      </c>
      <c r="B32" s="5" t="s">
        <v>25</v>
      </c>
      <c r="C32" s="12">
        <v>34769.436999999998</v>
      </c>
      <c r="D32" s="14" t="s">
        <v>52</v>
      </c>
      <c r="E32">
        <f t="shared" si="0"/>
        <v>-2891.5977880593032</v>
      </c>
      <c r="F32">
        <f t="shared" si="1"/>
        <v>-2891.5</v>
      </c>
      <c r="G32">
        <f t="shared" si="2"/>
        <v>-0.59982999999920139</v>
      </c>
      <c r="I32">
        <f>+G32</f>
        <v>-0.59982999999920139</v>
      </c>
      <c r="O32">
        <f t="shared" ca="1" si="3"/>
        <v>-0.18216339907005352</v>
      </c>
      <c r="P32">
        <f t="shared" ca="1" si="4"/>
        <v>9.0999558263531719E-2</v>
      </c>
      <c r="Q32" s="2">
        <f t="shared" si="5"/>
        <v>19750.936999999998</v>
      </c>
      <c r="S32">
        <f t="shared" si="8"/>
        <v>-0.59982999999920139</v>
      </c>
      <c r="V32" s="5" t="str">
        <f t="shared" si="6"/>
        <v>II</v>
      </c>
    </row>
    <row r="33" spans="1:22" x14ac:dyDescent="0.2">
      <c r="A33" t="s">
        <v>59</v>
      </c>
      <c r="B33" s="5" t="s">
        <v>25</v>
      </c>
      <c r="C33" s="14">
        <v>35131.451999999997</v>
      </c>
      <c r="D33" t="s">
        <v>52</v>
      </c>
      <c r="E33">
        <f t="shared" si="0"/>
        <v>-2832.5798258227128</v>
      </c>
      <c r="F33">
        <f t="shared" si="1"/>
        <v>-2832.5</v>
      </c>
      <c r="G33">
        <f t="shared" si="2"/>
        <v>-0.4896500000031665</v>
      </c>
      <c r="I33">
        <f>+G33</f>
        <v>-0.4896500000031665</v>
      </c>
      <c r="O33">
        <f t="shared" ca="1" si="3"/>
        <v>-0.17696721211820854</v>
      </c>
      <c r="P33">
        <f t="shared" ca="1" si="4"/>
        <v>8.9144542614008462E-2</v>
      </c>
      <c r="Q33" s="2">
        <f t="shared" si="5"/>
        <v>20112.951999999997</v>
      </c>
      <c r="S33">
        <f t="shared" si="8"/>
        <v>-0.4896500000031665</v>
      </c>
      <c r="V33" s="5" t="str">
        <f t="shared" si="6"/>
        <v>II</v>
      </c>
    </row>
    <row r="34" spans="1:22" x14ac:dyDescent="0.2">
      <c r="A34" t="s">
        <v>59</v>
      </c>
      <c r="B34" s="5" t="s">
        <v>25</v>
      </c>
      <c r="C34" s="14">
        <v>36597.374000000003</v>
      </c>
      <c r="D34" t="s">
        <v>52</v>
      </c>
      <c r="E34">
        <f t="shared" si="0"/>
        <v>-2593.5960012911678</v>
      </c>
      <c r="F34">
        <f t="shared" si="1"/>
        <v>-2593.5</v>
      </c>
      <c r="G34">
        <f t="shared" si="2"/>
        <v>-0.58886999999958789</v>
      </c>
      <c r="I34">
        <f>+G34</f>
        <v>-0.58886999999958789</v>
      </c>
      <c r="O34">
        <f t="shared" ca="1" si="3"/>
        <v>-0.15591825141497201</v>
      </c>
      <c r="P34">
        <f t="shared" ca="1" si="4"/>
        <v>8.1630157186278612E-2</v>
      </c>
      <c r="Q34" s="2">
        <f t="shared" si="5"/>
        <v>21578.874000000003</v>
      </c>
      <c r="S34">
        <f t="shared" si="8"/>
        <v>-0.58886999999958789</v>
      </c>
      <c r="V34" s="5" t="str">
        <f t="shared" si="6"/>
        <v>II</v>
      </c>
    </row>
    <row r="35" spans="1:22" x14ac:dyDescent="0.2">
      <c r="A35" t="s">
        <v>98</v>
      </c>
      <c r="B35" s="5" t="s">
        <v>25</v>
      </c>
      <c r="C35" s="14">
        <v>37558.650999999998</v>
      </c>
      <c r="D35" t="s">
        <v>52</v>
      </c>
      <c r="E35">
        <f t="shared" si="0"/>
        <v>-2436.8825786846392</v>
      </c>
      <c r="F35">
        <f t="shared" si="1"/>
        <v>-2437</v>
      </c>
      <c r="G35">
        <f t="shared" si="2"/>
        <v>0.720259999994596</v>
      </c>
      <c r="I35">
        <f>+G35</f>
        <v>0.720259999994596</v>
      </c>
      <c r="O35">
        <f t="shared" ca="1" si="3"/>
        <v>-0.14213514534778993</v>
      </c>
      <c r="P35">
        <f t="shared" ca="1" si="4"/>
        <v>7.6709649573560121E-2</v>
      </c>
      <c r="Q35" s="2">
        <f t="shared" si="5"/>
        <v>22540.150999999998</v>
      </c>
      <c r="R35">
        <f>G35</f>
        <v>0.720259999994596</v>
      </c>
      <c r="V35" s="5" t="str">
        <f t="shared" si="6"/>
        <v>I</v>
      </c>
    </row>
    <row r="36" spans="1:22" x14ac:dyDescent="0.2">
      <c r="A36" t="s">
        <v>98</v>
      </c>
      <c r="B36" s="5" t="s">
        <v>25</v>
      </c>
      <c r="C36" s="14">
        <v>38004.601999999999</v>
      </c>
      <c r="D36" t="s">
        <v>52</v>
      </c>
      <c r="E36">
        <f t="shared" si="0"/>
        <v>-2364.1808418025494</v>
      </c>
      <c r="F36">
        <f t="shared" si="1"/>
        <v>-2364</v>
      </c>
      <c r="G36">
        <f t="shared" si="2"/>
        <v>-1.1092800000042189</v>
      </c>
      <c r="I36">
        <f>+G36</f>
        <v>-1.1092800000042189</v>
      </c>
      <c r="O36">
        <f t="shared" ca="1" si="3"/>
        <v>-0.1357059648819478</v>
      </c>
      <c r="P36">
        <f t="shared" ca="1" si="4"/>
        <v>7.4414460719065226E-2</v>
      </c>
      <c r="Q36" s="2">
        <f t="shared" si="5"/>
        <v>22986.101999999999</v>
      </c>
      <c r="R36">
        <f>G36</f>
        <v>-1.1092800000042189</v>
      </c>
      <c r="V36" s="5" t="str">
        <f t="shared" si="6"/>
        <v>I</v>
      </c>
    </row>
    <row r="37" spans="1:22" x14ac:dyDescent="0.2">
      <c r="A37" t="s">
        <v>98</v>
      </c>
      <c r="B37" s="5" t="s">
        <v>25</v>
      </c>
      <c r="C37" s="14">
        <v>38005.624000000003</v>
      </c>
      <c r="D37" t="s">
        <v>52</v>
      </c>
      <c r="E37">
        <f t="shared" si="0"/>
        <v>-2364.0142289345577</v>
      </c>
      <c r="F37">
        <f t="shared" si="1"/>
        <v>-2364</v>
      </c>
      <c r="G37">
        <f t="shared" si="2"/>
        <v>-8.7279999999736901E-2</v>
      </c>
      <c r="I37">
        <f>+G37</f>
        <v>-8.7279999999736901E-2</v>
      </c>
      <c r="O37">
        <f t="shared" ca="1" si="3"/>
        <v>-0.1357059648819478</v>
      </c>
      <c r="P37">
        <f t="shared" ca="1" si="4"/>
        <v>7.4414460719065226E-2</v>
      </c>
      <c r="Q37" s="2">
        <f t="shared" si="5"/>
        <v>22987.124000000003</v>
      </c>
      <c r="R37">
        <f>G37</f>
        <v>-8.7279999999736901E-2</v>
      </c>
      <c r="V37" s="5" t="str">
        <f t="shared" si="6"/>
        <v>I</v>
      </c>
    </row>
    <row r="38" spans="1:22" x14ac:dyDescent="0.2">
      <c r="A38" t="s">
        <v>109</v>
      </c>
      <c r="B38" s="5" t="s">
        <v>25</v>
      </c>
      <c r="C38" s="14">
        <v>38106.364000000001</v>
      </c>
      <c r="D38" t="s">
        <v>52</v>
      </c>
      <c r="E38">
        <f t="shared" si="0"/>
        <v>-2347.5909605182933</v>
      </c>
      <c r="F38">
        <f t="shared" si="1"/>
        <v>-2347.5</v>
      </c>
      <c r="G38">
        <f t="shared" si="2"/>
        <v>-0.55795000000216532</v>
      </c>
      <c r="I38">
        <f>+G38</f>
        <v>-0.55795000000216532</v>
      </c>
      <c r="O38">
        <f t="shared" ca="1" si="3"/>
        <v>-0.13425279395473694</v>
      </c>
      <c r="P38">
        <f t="shared" ca="1" si="4"/>
        <v>7.3895685156062957E-2</v>
      </c>
      <c r="Q38" s="2">
        <f t="shared" si="5"/>
        <v>23087.864000000001</v>
      </c>
      <c r="S38">
        <f>G38</f>
        <v>-0.55795000000216532</v>
      </c>
      <c r="V38" s="5" t="str">
        <f t="shared" si="6"/>
        <v>II</v>
      </c>
    </row>
    <row r="39" spans="1:22" x14ac:dyDescent="0.2">
      <c r="A39" t="s">
        <v>98</v>
      </c>
      <c r="B39" s="5" t="s">
        <v>25</v>
      </c>
      <c r="C39" s="14">
        <v>38842.370000000003</v>
      </c>
      <c r="D39" t="s">
        <v>52</v>
      </c>
      <c r="E39">
        <f t="shared" si="0"/>
        <v>-2227.60263320063</v>
      </c>
      <c r="F39">
        <f t="shared" si="1"/>
        <v>-2227.5</v>
      </c>
      <c r="G39">
        <f t="shared" si="2"/>
        <v>-0.62954999999783468</v>
      </c>
      <c r="I39">
        <f>+G39</f>
        <v>-0.62954999999783468</v>
      </c>
      <c r="O39">
        <f t="shared" ca="1" si="3"/>
        <v>-0.12368427812047593</v>
      </c>
      <c r="P39">
        <f t="shared" ca="1" si="4"/>
        <v>7.0122771970591913E-2</v>
      </c>
      <c r="Q39" s="2">
        <f t="shared" si="5"/>
        <v>23823.870000000003</v>
      </c>
      <c r="S39">
        <f>G39</f>
        <v>-0.62954999999783468</v>
      </c>
      <c r="V39" s="5" t="str">
        <f t="shared" si="6"/>
        <v>II</v>
      </c>
    </row>
    <row r="40" spans="1:22" x14ac:dyDescent="0.2">
      <c r="A40" t="s">
        <v>98</v>
      </c>
      <c r="B40" s="5" t="s">
        <v>25</v>
      </c>
      <c r="C40" s="14">
        <v>39054.616000000002</v>
      </c>
      <c r="D40" t="s">
        <v>52</v>
      </c>
      <c r="E40">
        <f t="shared" si="0"/>
        <v>-2193.0009553340574</v>
      </c>
      <c r="F40">
        <f t="shared" si="1"/>
        <v>-2193</v>
      </c>
      <c r="G40">
        <f t="shared" si="2"/>
        <v>-5.8599999974831007E-3</v>
      </c>
      <c r="I40">
        <f>+G40</f>
        <v>-5.8599999974831007E-3</v>
      </c>
      <c r="O40">
        <f t="shared" ca="1" si="3"/>
        <v>-0.1206458298181259</v>
      </c>
      <c r="P40">
        <f t="shared" ca="1" si="4"/>
        <v>6.9038059429768983E-2</v>
      </c>
      <c r="Q40" s="2">
        <f t="shared" si="5"/>
        <v>24036.116000000002</v>
      </c>
      <c r="R40">
        <f>G40</f>
        <v>-5.8599999974831007E-3</v>
      </c>
      <c r="V40" s="5" t="str">
        <f t="shared" si="6"/>
        <v>I</v>
      </c>
    </row>
    <row r="41" spans="1:22" x14ac:dyDescent="0.2">
      <c r="A41" t="s">
        <v>109</v>
      </c>
      <c r="B41" s="5" t="s">
        <v>25</v>
      </c>
      <c r="C41" s="14">
        <v>39054.616999999998</v>
      </c>
      <c r="D41" t="s">
        <v>52</v>
      </c>
      <c r="E41">
        <f t="shared" si="0"/>
        <v>-2193.0007923077683</v>
      </c>
      <c r="F41">
        <f t="shared" si="1"/>
        <v>-2193</v>
      </c>
      <c r="G41">
        <f t="shared" si="2"/>
        <v>-4.8600000009173527E-3</v>
      </c>
      <c r="I41">
        <f>+G41</f>
        <v>-4.8600000009173527E-3</v>
      </c>
      <c r="O41">
        <f t="shared" ca="1" si="3"/>
        <v>-0.1206458298181259</v>
      </c>
      <c r="P41">
        <f t="shared" ca="1" si="4"/>
        <v>6.9038059429768983E-2</v>
      </c>
      <c r="Q41" s="2">
        <f t="shared" si="5"/>
        <v>24036.116999999998</v>
      </c>
      <c r="R41">
        <f>G41</f>
        <v>-4.8600000009173527E-3</v>
      </c>
      <c r="V41" s="5" t="str">
        <f t="shared" si="6"/>
        <v>I</v>
      </c>
    </row>
    <row r="42" spans="1:22" x14ac:dyDescent="0.2">
      <c r="A42" t="s">
        <v>98</v>
      </c>
      <c r="B42" s="5" t="s">
        <v>25</v>
      </c>
      <c r="C42" s="14">
        <v>39508.476999999999</v>
      </c>
      <c r="D42" t="s">
        <v>52</v>
      </c>
      <c r="E42">
        <f t="shared" si="0"/>
        <v>-2119.009680501078</v>
      </c>
      <c r="F42">
        <f t="shared" si="1"/>
        <v>-2119</v>
      </c>
      <c r="G42">
        <f t="shared" si="2"/>
        <v>-5.9380000006058253E-2</v>
      </c>
      <c r="I42">
        <f>+G42</f>
        <v>-5.9380000006058253E-2</v>
      </c>
      <c r="O42">
        <f t="shared" ca="1" si="3"/>
        <v>-0.11412857838699826</v>
      </c>
      <c r="P42">
        <f t="shared" ca="1" si="4"/>
        <v>6.6711429632061836E-2</v>
      </c>
      <c r="Q42" s="2">
        <f t="shared" si="5"/>
        <v>24489.976999999999</v>
      </c>
      <c r="R42">
        <f>G42</f>
        <v>-5.9380000006058253E-2</v>
      </c>
      <c r="V42" s="5" t="str">
        <f t="shared" si="6"/>
        <v>I</v>
      </c>
    </row>
    <row r="43" spans="1:22" x14ac:dyDescent="0.2">
      <c r="A43" t="s">
        <v>98</v>
      </c>
      <c r="B43" s="5" t="s">
        <v>25</v>
      </c>
      <c r="C43" s="14">
        <v>39827.56</v>
      </c>
      <c r="D43" t="s">
        <v>52</v>
      </c>
      <c r="E43">
        <f t="shared" si="0"/>
        <v>-2066.9907629304307</v>
      </c>
      <c r="F43">
        <f t="shared" si="1"/>
        <v>-2067</v>
      </c>
      <c r="G43">
        <f t="shared" si="2"/>
        <v>5.6659999994735699E-2</v>
      </c>
      <c r="I43">
        <f>+G43</f>
        <v>5.6659999994735699E-2</v>
      </c>
      <c r="O43">
        <f t="shared" ca="1" si="3"/>
        <v>-0.10954888819215182</v>
      </c>
      <c r="P43">
        <f t="shared" ca="1" si="4"/>
        <v>6.5076500585024372E-2</v>
      </c>
      <c r="Q43" s="2">
        <f t="shared" si="5"/>
        <v>24809.059999999998</v>
      </c>
      <c r="R43">
        <f>G43</f>
        <v>5.6659999994735699E-2</v>
      </c>
      <c r="V43" s="5" t="str">
        <f t="shared" si="6"/>
        <v>I</v>
      </c>
    </row>
    <row r="44" spans="1:22" x14ac:dyDescent="0.2">
      <c r="A44" t="s">
        <v>109</v>
      </c>
      <c r="B44" s="5" t="s">
        <v>25</v>
      </c>
      <c r="C44" s="14">
        <v>40473.614999999998</v>
      </c>
      <c r="D44" t="s">
        <v>52</v>
      </c>
      <c r="E44">
        <f t="shared" si="0"/>
        <v>-1961.6668133903279</v>
      </c>
      <c r="F44">
        <f t="shared" si="1"/>
        <v>-1961.5</v>
      </c>
      <c r="G44">
        <f t="shared" si="2"/>
        <v>-1.0232300000061514</v>
      </c>
      <c r="I44">
        <f>+G44</f>
        <v>-1.0232300000061514</v>
      </c>
      <c r="O44">
        <f t="shared" ca="1" si="3"/>
        <v>-0.10025740135453069</v>
      </c>
      <c r="P44">
        <f t="shared" ca="1" si="4"/>
        <v>6.1759481076131072E-2</v>
      </c>
      <c r="Q44" s="2">
        <f t="shared" si="5"/>
        <v>25455.114999999998</v>
      </c>
      <c r="S44">
        <f>G44</f>
        <v>-1.0232300000061514</v>
      </c>
      <c r="V44" s="5" t="str">
        <f t="shared" si="6"/>
        <v>II</v>
      </c>
    </row>
    <row r="45" spans="1:22" x14ac:dyDescent="0.2">
      <c r="A45" t="s">
        <v>109</v>
      </c>
      <c r="B45" s="5" t="s">
        <v>25</v>
      </c>
      <c r="C45" s="14">
        <v>41357.42</v>
      </c>
      <c r="D45" t="s">
        <v>52</v>
      </c>
      <c r="E45">
        <f t="shared" si="0"/>
        <v>-1817.5833634931976</v>
      </c>
      <c r="F45">
        <f t="shared" si="1"/>
        <v>-1817.5</v>
      </c>
      <c r="G45">
        <f t="shared" si="2"/>
        <v>-0.51135000000067521</v>
      </c>
      <c r="I45">
        <f>+G45</f>
        <v>-0.51135000000067521</v>
      </c>
      <c r="O45">
        <f t="shared" ca="1" si="3"/>
        <v>-8.7575182353417477E-2</v>
      </c>
      <c r="P45">
        <f t="shared" ca="1" si="4"/>
        <v>5.7231985253565806E-2</v>
      </c>
      <c r="Q45" s="2">
        <f t="shared" si="5"/>
        <v>26338.92</v>
      </c>
      <c r="S45">
        <f>G45</f>
        <v>-0.51135000000067521</v>
      </c>
      <c r="V45" s="5" t="str">
        <f t="shared" si="6"/>
        <v>II</v>
      </c>
    </row>
    <row r="46" spans="1:22" x14ac:dyDescent="0.2">
      <c r="A46" t="s">
        <v>98</v>
      </c>
      <c r="B46" s="5" t="s">
        <v>25</v>
      </c>
      <c r="C46" s="14">
        <v>42839.285000000003</v>
      </c>
      <c r="D46" t="s">
        <v>52</v>
      </c>
      <c r="E46">
        <f t="shared" si="0"/>
        <v>-1576.0004108262497</v>
      </c>
      <c r="F46">
        <f t="shared" si="1"/>
        <v>-1576</v>
      </c>
      <c r="G46">
        <f t="shared" si="2"/>
        <v>-2.5199999945471063E-3</v>
      </c>
      <c r="I46">
        <f>+G46</f>
        <v>-2.5199999945471063E-3</v>
      </c>
      <c r="O46">
        <f t="shared" ca="1" si="3"/>
        <v>-6.630604423696719E-2</v>
      </c>
      <c r="P46">
        <f t="shared" ca="1" si="4"/>
        <v>4.9638997467805319E-2</v>
      </c>
      <c r="Q46" s="2">
        <f t="shared" si="5"/>
        <v>27820.785000000003</v>
      </c>
      <c r="R46">
        <f>G46</f>
        <v>-2.5199999945471063E-3</v>
      </c>
      <c r="V46" s="5" t="str">
        <f t="shared" si="6"/>
        <v>I</v>
      </c>
    </row>
    <row r="47" spans="1:22" x14ac:dyDescent="0.2">
      <c r="A47" t="s">
        <v>109</v>
      </c>
      <c r="B47" s="5" t="s">
        <v>25</v>
      </c>
      <c r="C47" s="14">
        <v>43078.508000000002</v>
      </c>
      <c r="D47" t="s">
        <v>52</v>
      </c>
      <c r="E47">
        <f t="shared" si="0"/>
        <v>-1537.000772744613</v>
      </c>
      <c r="F47">
        <f t="shared" si="1"/>
        <v>-1537</v>
      </c>
      <c r="G47">
        <f t="shared" si="2"/>
        <v>-4.7400000039488077E-3</v>
      </c>
      <c r="I47">
        <f>+G47</f>
        <v>-4.7400000039488077E-3</v>
      </c>
      <c r="O47">
        <f t="shared" ca="1" si="3"/>
        <v>-6.2871276590832373E-2</v>
      </c>
      <c r="P47">
        <f t="shared" ca="1" si="4"/>
        <v>4.8412800682527221E-2</v>
      </c>
      <c r="Q47" s="2">
        <f t="shared" si="5"/>
        <v>28060.008000000002</v>
      </c>
      <c r="R47">
        <f>G47</f>
        <v>-4.7400000039488077E-3</v>
      </c>
      <c r="V47" s="5" t="str">
        <f t="shared" si="6"/>
        <v>I</v>
      </c>
    </row>
    <row r="48" spans="1:22" x14ac:dyDescent="0.2">
      <c r="A48" t="s">
        <v>109</v>
      </c>
      <c r="B48" s="5" t="s">
        <v>25</v>
      </c>
      <c r="C48" s="14">
        <v>45403.324999999997</v>
      </c>
      <c r="D48" t="s">
        <v>52</v>
      </c>
      <c r="E48">
        <f t="shared" si="0"/>
        <v>-1157.9944831903601</v>
      </c>
      <c r="F48">
        <f t="shared" si="1"/>
        <v>-1158</v>
      </c>
      <c r="G48">
        <f t="shared" si="2"/>
        <v>3.3839999996416736E-2</v>
      </c>
      <c r="I48">
        <f>+G48</f>
        <v>3.3839999996416736E-2</v>
      </c>
      <c r="O48">
        <f t="shared" ca="1" si="3"/>
        <v>-2.9492380747624683E-2</v>
      </c>
      <c r="P48">
        <f t="shared" ca="1" si="4"/>
        <v>3.6496683205081155E-2</v>
      </c>
      <c r="Q48" s="2">
        <f t="shared" si="5"/>
        <v>30384.824999999997</v>
      </c>
      <c r="R48">
        <f>G48</f>
        <v>3.3839999996416736E-2</v>
      </c>
      <c r="V48" s="5" t="str">
        <f t="shared" si="6"/>
        <v>I</v>
      </c>
    </row>
    <row r="49" spans="1:22" x14ac:dyDescent="0.2">
      <c r="A49" t="s">
        <v>144</v>
      </c>
      <c r="B49" s="5" t="s">
        <v>25</v>
      </c>
      <c r="C49" s="14">
        <v>47967.326999999997</v>
      </c>
      <c r="D49" t="s">
        <v>52</v>
      </c>
      <c r="E49">
        <f t="shared" si="0"/>
        <v>-739.994750553475</v>
      </c>
      <c r="F49">
        <f t="shared" si="1"/>
        <v>-740</v>
      </c>
      <c r="G49">
        <f t="shared" si="2"/>
        <v>3.2199999994190875E-2</v>
      </c>
      <c r="I49">
        <f>+G49</f>
        <v>3.2199999994190875E-2</v>
      </c>
      <c r="O49">
        <f t="shared" ca="1" si="3"/>
        <v>7.3212827417178383E-3</v>
      </c>
      <c r="P49">
        <f t="shared" ca="1" si="4"/>
        <v>2.3354368942356991E-2</v>
      </c>
      <c r="Q49" s="2">
        <f t="shared" si="5"/>
        <v>32948.826999999997</v>
      </c>
      <c r="R49">
        <f>G49</f>
        <v>3.2199999994190875E-2</v>
      </c>
      <c r="V49" s="5" t="str">
        <f t="shared" si="6"/>
        <v>I</v>
      </c>
    </row>
    <row r="50" spans="1:22" x14ac:dyDescent="0.2">
      <c r="A50" t="s">
        <v>144</v>
      </c>
      <c r="B50" s="5" t="s">
        <v>25</v>
      </c>
      <c r="C50" s="14">
        <v>48681.326999999997</v>
      </c>
      <c r="D50" t="s">
        <v>52</v>
      </c>
      <c r="E50">
        <f t="shared" si="0"/>
        <v>-623.59397976517766</v>
      </c>
      <c r="F50">
        <f t="shared" si="1"/>
        <v>-623.5</v>
      </c>
      <c r="G50">
        <f t="shared" si="2"/>
        <v>-0.57647000000724802</v>
      </c>
      <c r="I50">
        <f>+G50</f>
        <v>-0.57647000000724802</v>
      </c>
      <c r="O50">
        <f t="shared" ca="1" si="3"/>
        <v>1.7581550197479569E-2</v>
      </c>
      <c r="P50">
        <f t="shared" ca="1" si="4"/>
        <v>1.9691499058128847E-2</v>
      </c>
      <c r="Q50" s="2">
        <f t="shared" si="5"/>
        <v>33662.826999999997</v>
      </c>
      <c r="S50">
        <f>G50</f>
        <v>-0.57647000000724802</v>
      </c>
      <c r="V50" s="5" t="str">
        <f t="shared" si="6"/>
        <v>II</v>
      </c>
    </row>
    <row r="51" spans="1:22" x14ac:dyDescent="0.2">
      <c r="A51" t="s">
        <v>144</v>
      </c>
      <c r="B51" s="5" t="s">
        <v>25</v>
      </c>
      <c r="C51" s="14">
        <v>48681.417999999998</v>
      </c>
      <c r="D51" t="s">
        <v>52</v>
      </c>
      <c r="E51">
        <f t="shared" si="0"/>
        <v>-623.57914437282227</v>
      </c>
      <c r="F51">
        <f t="shared" si="1"/>
        <v>-623.5</v>
      </c>
      <c r="G51">
        <f t="shared" si="2"/>
        <v>-0.48547000000689877</v>
      </c>
      <c r="I51">
        <f>+G51</f>
        <v>-0.48547000000689877</v>
      </c>
      <c r="O51">
        <f t="shared" ca="1" si="3"/>
        <v>1.7581550197479569E-2</v>
      </c>
      <c r="P51">
        <f t="shared" ca="1" si="4"/>
        <v>1.9691499058128847E-2</v>
      </c>
      <c r="Q51" s="2">
        <f t="shared" si="5"/>
        <v>33662.917999999998</v>
      </c>
      <c r="S51">
        <f>G51</f>
        <v>-0.48547000000689877</v>
      </c>
      <c r="V51" s="5" t="str">
        <f t="shared" si="6"/>
        <v>II</v>
      </c>
    </row>
    <row r="52" spans="1:22" x14ac:dyDescent="0.2">
      <c r="A52" t="s">
        <v>144</v>
      </c>
      <c r="B52" s="5" t="s">
        <v>25</v>
      </c>
      <c r="C52" s="14">
        <v>48893.591999999997</v>
      </c>
      <c r="D52" t="s">
        <v>52</v>
      </c>
      <c r="E52">
        <f t="shared" si="0"/>
        <v>-588.98920439910228</v>
      </c>
      <c r="F52">
        <f t="shared" si="1"/>
        <v>-589</v>
      </c>
      <c r="G52">
        <f t="shared" si="2"/>
        <v>6.6219999993336387E-2</v>
      </c>
      <c r="I52">
        <f>+G52</f>
        <v>6.6219999993336387E-2</v>
      </c>
      <c r="O52">
        <f t="shared" ca="1" si="3"/>
        <v>2.0619998499829609E-2</v>
      </c>
      <c r="P52">
        <f t="shared" ca="1" si="4"/>
        <v>1.8606786517305917E-2</v>
      </c>
      <c r="Q52" s="2">
        <f t="shared" si="5"/>
        <v>33875.091999999997</v>
      </c>
      <c r="R52">
        <f>G52</f>
        <v>6.6219999993336387E-2</v>
      </c>
      <c r="V52" s="5" t="str">
        <f t="shared" si="6"/>
        <v>I</v>
      </c>
    </row>
    <row r="53" spans="1:22" x14ac:dyDescent="0.2">
      <c r="A53" t="s">
        <v>144</v>
      </c>
      <c r="B53" s="5" t="s">
        <v>25</v>
      </c>
      <c r="C53" s="14">
        <v>49310.523000000001</v>
      </c>
      <c r="D53" t="s">
        <v>52</v>
      </c>
      <c r="E53">
        <f t="shared" ref="E53:E69" si="9">+(C53-C$7)/C$8</f>
        <v>-521.01849044176879</v>
      </c>
      <c r="F53">
        <f t="shared" ref="F53:F69" si="10">ROUND(2*E53,0)/2</f>
        <v>-521</v>
      </c>
      <c r="G53">
        <f t="shared" ref="G53:G69" si="11">+C53-(C$7+F53*C$8)</f>
        <v>-0.1134200000014971</v>
      </c>
      <c r="I53">
        <f>+G53</f>
        <v>-0.1134200000014971</v>
      </c>
      <c r="O53">
        <f t="shared" ref="O53:O69" ca="1" si="12">+C$11+C$12*$F53</f>
        <v>2.6608824139244182E-2</v>
      </c>
      <c r="P53">
        <f t="shared" ref="P53:P69" ca="1" si="13">+C$12+D$12*$F53</f>
        <v>1.6468802378872324E-2</v>
      </c>
      <c r="Q53" s="2">
        <f t="shared" ref="Q53:Q69" si="14">+C53-15018.5</f>
        <v>34292.023000000001</v>
      </c>
      <c r="R53">
        <f>G53</f>
        <v>-0.1134200000014971</v>
      </c>
      <c r="V53" s="5" t="str">
        <f t="shared" ref="V53:V69" si="15">IF(F53=INT(F53),"I","II")</f>
        <v>I</v>
      </c>
    </row>
    <row r="54" spans="1:22" x14ac:dyDescent="0.2">
      <c r="A54" t="s">
        <v>144</v>
      </c>
      <c r="B54" s="5" t="s">
        <v>25</v>
      </c>
      <c r="C54" s="14">
        <v>49638.580999999998</v>
      </c>
      <c r="D54" t="s">
        <v>52</v>
      </c>
      <c r="E54">
        <f t="shared" si="9"/>
        <v>-467.53641192178713</v>
      </c>
      <c r="F54">
        <f t="shared" si="10"/>
        <v>-467.5</v>
      </c>
      <c r="G54">
        <f t="shared" si="11"/>
        <v>-0.22335000000748551</v>
      </c>
      <c r="I54">
        <f>+G54</f>
        <v>-0.22335000000748551</v>
      </c>
      <c r="O54">
        <f t="shared" ca="1" si="12"/>
        <v>3.1320620782018881E-2</v>
      </c>
      <c r="P54">
        <f t="shared" ca="1" si="13"/>
        <v>1.4786711917016479E-2</v>
      </c>
      <c r="Q54" s="2">
        <f t="shared" si="14"/>
        <v>34620.080999999998</v>
      </c>
      <c r="S54">
        <f>G54</f>
        <v>-0.22335000000748551</v>
      </c>
      <c r="V54" s="5" t="str">
        <f t="shared" si="15"/>
        <v>II</v>
      </c>
    </row>
    <row r="55" spans="1:22" x14ac:dyDescent="0.2">
      <c r="A55" t="s">
        <v>144</v>
      </c>
      <c r="B55" s="5" t="s">
        <v>25</v>
      </c>
      <c r="C55" s="14">
        <v>49661.540999999997</v>
      </c>
      <c r="D55" t="s">
        <v>52</v>
      </c>
      <c r="E55">
        <f t="shared" si="9"/>
        <v>-463.7933283121244</v>
      </c>
      <c r="F55">
        <f t="shared" si="10"/>
        <v>-464</v>
      </c>
      <c r="G55">
        <f t="shared" si="11"/>
        <v>1.2677199999961886</v>
      </c>
      <c r="I55">
        <f>+G55</f>
        <v>1.2677199999961886</v>
      </c>
      <c r="O55">
        <f t="shared" ca="1" si="12"/>
        <v>3.1628869160518158E-2</v>
      </c>
      <c r="P55">
        <f t="shared" ca="1" si="13"/>
        <v>1.4676668615773575E-2</v>
      </c>
      <c r="Q55" s="2">
        <f t="shared" si="14"/>
        <v>34643.040999999997</v>
      </c>
      <c r="R55">
        <f>G55</f>
        <v>1.2677199999961886</v>
      </c>
      <c r="V55" s="5" t="str">
        <f t="shared" si="15"/>
        <v>I</v>
      </c>
    </row>
    <row r="56" spans="1:22" x14ac:dyDescent="0.2">
      <c r="A56" t="s">
        <v>144</v>
      </c>
      <c r="B56" s="5" t="s">
        <v>25</v>
      </c>
      <c r="C56" s="14">
        <v>49721.394999999997</v>
      </c>
      <c r="D56" t="s">
        <v>52</v>
      </c>
      <c r="E56">
        <f t="shared" si="9"/>
        <v>-454.03555277324108</v>
      </c>
      <c r="F56">
        <f t="shared" si="10"/>
        <v>-454</v>
      </c>
      <c r="G56">
        <f t="shared" si="11"/>
        <v>-0.21808000000601169</v>
      </c>
      <c r="I56">
        <f>+G56</f>
        <v>-0.21808000000601169</v>
      </c>
      <c r="O56">
        <f t="shared" ca="1" si="12"/>
        <v>3.2509578813373248E-2</v>
      </c>
      <c r="P56">
        <f t="shared" ca="1" si="13"/>
        <v>1.4362259183650987E-2</v>
      </c>
      <c r="Q56" s="2">
        <f t="shared" si="14"/>
        <v>34702.894999999997</v>
      </c>
      <c r="R56">
        <f>G56</f>
        <v>-0.21808000000601169</v>
      </c>
      <c r="V56" s="5" t="str">
        <f t="shared" si="15"/>
        <v>I</v>
      </c>
    </row>
    <row r="57" spans="1:22" x14ac:dyDescent="0.2">
      <c r="A57" t="s">
        <v>144</v>
      </c>
      <c r="B57" s="5" t="s">
        <v>25</v>
      </c>
      <c r="C57" s="14">
        <v>50151.285000000003</v>
      </c>
      <c r="D57" t="s">
        <v>52</v>
      </c>
      <c r="E57">
        <f t="shared" si="9"/>
        <v>-383.95218112872863</v>
      </c>
      <c r="F57">
        <f t="shared" si="10"/>
        <v>-384</v>
      </c>
      <c r="G57">
        <f t="shared" si="11"/>
        <v>0.29332000000431435</v>
      </c>
      <c r="I57">
        <f>+G57</f>
        <v>0.29332000000431435</v>
      </c>
      <c r="O57">
        <f t="shared" ca="1" si="12"/>
        <v>3.8674546383358835E-2</v>
      </c>
      <c r="P57">
        <f t="shared" ca="1" si="13"/>
        <v>1.2161393158792872E-2</v>
      </c>
      <c r="Q57" s="2">
        <f t="shared" si="14"/>
        <v>35132.785000000003</v>
      </c>
      <c r="R57">
        <f>G57</f>
        <v>0.29332000000431435</v>
      </c>
      <c r="V57" s="5" t="str">
        <f t="shared" si="15"/>
        <v>I</v>
      </c>
    </row>
    <row r="58" spans="1:22" x14ac:dyDescent="0.2">
      <c r="A58" t="s">
        <v>171</v>
      </c>
      <c r="B58" s="5" t="s">
        <v>25</v>
      </c>
      <c r="C58" s="14">
        <v>52739.538</v>
      </c>
      <c r="D58" t="s">
        <v>52</v>
      </c>
      <c r="E58">
        <f t="shared" si="9"/>
        <v>38.001102057717524</v>
      </c>
      <c r="F58">
        <f t="shared" si="10"/>
        <v>38</v>
      </c>
      <c r="G58">
        <f t="shared" si="11"/>
        <v>6.7599999965750612E-3</v>
      </c>
      <c r="I58">
        <f>+G58</f>
        <v>6.7599999965750612E-3</v>
      </c>
      <c r="O58">
        <f t="shared" ca="1" si="12"/>
        <v>7.5840493733843384E-2</v>
      </c>
      <c r="P58">
        <f t="shared" ca="1" si="13"/>
        <v>-1.1066848767803245E-3</v>
      </c>
      <c r="Q58" s="2">
        <f t="shared" si="14"/>
        <v>37721.038</v>
      </c>
      <c r="R58">
        <f>G58</f>
        <v>6.7599999965750612E-3</v>
      </c>
      <c r="V58" s="5" t="str">
        <f t="shared" si="15"/>
        <v>I</v>
      </c>
    </row>
    <row r="59" spans="1:22" x14ac:dyDescent="0.2">
      <c r="A59" t="s">
        <v>171</v>
      </c>
      <c r="B59" s="5" t="s">
        <v>25</v>
      </c>
      <c r="C59" s="14">
        <v>52742.040999999997</v>
      </c>
      <c r="D59" t="s">
        <v>52</v>
      </c>
      <c r="E59">
        <f t="shared" si="9"/>
        <v>38.409156860634546</v>
      </c>
      <c r="F59">
        <f t="shared" si="10"/>
        <v>38.5</v>
      </c>
      <c r="G59">
        <f t="shared" si="11"/>
        <v>-0.55723000000580214</v>
      </c>
      <c r="I59">
        <f>+G59</f>
        <v>-0.55723000000580214</v>
      </c>
      <c r="O59">
        <f t="shared" ca="1" si="12"/>
        <v>7.5884529216486141E-2</v>
      </c>
      <c r="P59">
        <f t="shared" ca="1" si="13"/>
        <v>-1.1224053483864539E-3</v>
      </c>
      <c r="Q59" s="2">
        <f t="shared" si="14"/>
        <v>37723.540999999997</v>
      </c>
      <c r="S59">
        <f>G59</f>
        <v>-0.55723000000580214</v>
      </c>
      <c r="V59" s="5" t="str">
        <f t="shared" si="15"/>
        <v>II</v>
      </c>
    </row>
    <row r="60" spans="1:22" x14ac:dyDescent="0.2">
      <c r="A60" t="s">
        <v>181</v>
      </c>
      <c r="B60" s="5" t="s">
        <v>25</v>
      </c>
      <c r="C60" s="14">
        <v>54116.051500000001</v>
      </c>
      <c r="D60" t="s">
        <v>52</v>
      </c>
      <c r="E60">
        <f t="shared" si="9"/>
        <v>262.40899057381978</v>
      </c>
      <c r="F60">
        <f t="shared" si="10"/>
        <v>262.5</v>
      </c>
      <c r="G60">
        <f t="shared" si="11"/>
        <v>-0.55825000000186265</v>
      </c>
      <c r="I60">
        <f>+G60</f>
        <v>-0.55825000000186265</v>
      </c>
      <c r="O60">
        <f t="shared" ca="1" si="12"/>
        <v>9.5612425440440019E-2</v>
      </c>
      <c r="P60">
        <f t="shared" ca="1" si="13"/>
        <v>-8.1651766279324158E-3</v>
      </c>
      <c r="Q60" s="2">
        <f t="shared" si="14"/>
        <v>39097.551500000001</v>
      </c>
      <c r="S60">
        <f>G60</f>
        <v>-0.55825000000186265</v>
      </c>
      <c r="V60" s="5" t="str">
        <f t="shared" si="15"/>
        <v>II</v>
      </c>
    </row>
    <row r="61" spans="1:22" x14ac:dyDescent="0.2">
      <c r="A61" t="s">
        <v>181</v>
      </c>
      <c r="B61" s="5" t="s">
        <v>25</v>
      </c>
      <c r="C61" s="14">
        <v>54138.082399999999</v>
      </c>
      <c r="D61" t="s">
        <v>52</v>
      </c>
      <c r="E61">
        <f t="shared" si="9"/>
        <v>266.00060645779689</v>
      </c>
      <c r="F61">
        <f t="shared" si="10"/>
        <v>266</v>
      </c>
      <c r="G61">
        <f t="shared" si="11"/>
        <v>3.719999993336387E-3</v>
      </c>
      <c r="I61">
        <f>+G61</f>
        <v>3.719999993336387E-3</v>
      </c>
      <c r="O61">
        <f t="shared" ca="1" si="12"/>
        <v>9.5920673818939303E-2</v>
      </c>
      <c r="P61">
        <f t="shared" ca="1" si="13"/>
        <v>-8.2752199291753221E-3</v>
      </c>
      <c r="Q61" s="2">
        <f t="shared" si="14"/>
        <v>39119.582399999999</v>
      </c>
      <c r="R61">
        <f>G61</f>
        <v>3.719999993336387E-3</v>
      </c>
      <c r="V61" s="5" t="str">
        <f t="shared" si="15"/>
        <v>I</v>
      </c>
    </row>
    <row r="62" spans="1:22" x14ac:dyDescent="0.2">
      <c r="A62" s="24" t="s">
        <v>33</v>
      </c>
      <c r="B62" s="33"/>
      <c r="C62" s="24">
        <v>54150.3514</v>
      </c>
      <c r="D62" s="24">
        <v>4.0000000000000001E-3</v>
      </c>
      <c r="E62">
        <f t="shared" si="9"/>
        <v>268.00077600513811</v>
      </c>
      <c r="F62">
        <f t="shared" si="10"/>
        <v>268</v>
      </c>
      <c r="G62">
        <f t="shared" si="11"/>
        <v>4.7599999961676076E-3</v>
      </c>
      <c r="J62">
        <f>+G62</f>
        <v>4.7599999961676076E-3</v>
      </c>
      <c r="O62">
        <f t="shared" ca="1" si="12"/>
        <v>9.6096815749510317E-2</v>
      </c>
      <c r="P62">
        <f t="shared" ca="1" si="13"/>
        <v>-8.3381018155998399E-3</v>
      </c>
      <c r="Q62" s="2">
        <f t="shared" si="14"/>
        <v>39131.8514</v>
      </c>
      <c r="R62">
        <f>G62</f>
        <v>4.7599999961676076E-3</v>
      </c>
      <c r="V62" s="5" t="str">
        <f t="shared" si="15"/>
        <v>I</v>
      </c>
    </row>
    <row r="63" spans="1:22" x14ac:dyDescent="0.2">
      <c r="A63" t="s">
        <v>197</v>
      </c>
      <c r="B63" s="5" t="s">
        <v>25</v>
      </c>
      <c r="C63" s="14">
        <v>54843.486100000002</v>
      </c>
      <c r="D63" t="s">
        <v>52</v>
      </c>
      <c r="E63">
        <f t="shared" si="9"/>
        <v>380.99995435263884</v>
      </c>
      <c r="F63">
        <f t="shared" si="10"/>
        <v>381</v>
      </c>
      <c r="G63">
        <f t="shared" si="11"/>
        <v>-2.8000000020256266E-4</v>
      </c>
      <c r="I63">
        <f>+G63</f>
        <v>-2.8000000020256266E-4</v>
      </c>
      <c r="O63">
        <f t="shared" ca="1" si="12"/>
        <v>0.10604883482677277</v>
      </c>
      <c r="P63">
        <f t="shared" ca="1" si="13"/>
        <v>-1.189092839858508E-2</v>
      </c>
      <c r="Q63" s="2">
        <f t="shared" si="14"/>
        <v>39824.986100000002</v>
      </c>
      <c r="R63">
        <f>G63</f>
        <v>-2.8000000020256266E-4</v>
      </c>
      <c r="V63" s="5" t="str">
        <f t="shared" si="15"/>
        <v>I</v>
      </c>
    </row>
    <row r="64" spans="1:22" x14ac:dyDescent="0.2">
      <c r="A64" s="24" t="s">
        <v>30</v>
      </c>
      <c r="B64" s="25" t="s">
        <v>26</v>
      </c>
      <c r="C64" s="24">
        <f>C46</f>
        <v>42839.285000000003</v>
      </c>
      <c r="D64" s="24"/>
      <c r="E64">
        <f t="shared" si="9"/>
        <v>-1576.0004108262497</v>
      </c>
      <c r="F64">
        <f t="shared" si="10"/>
        <v>-1576</v>
      </c>
      <c r="G64">
        <f t="shared" si="11"/>
        <v>-2.5199999945471063E-3</v>
      </c>
      <c r="I64">
        <f>+G64</f>
        <v>-2.5199999945471063E-3</v>
      </c>
      <c r="O64">
        <f t="shared" ca="1" si="12"/>
        <v>-6.630604423696719E-2</v>
      </c>
      <c r="P64">
        <f t="shared" ca="1" si="13"/>
        <v>4.9638997467805319E-2</v>
      </c>
      <c r="Q64" s="2">
        <f t="shared" si="14"/>
        <v>27820.785000000003</v>
      </c>
      <c r="R64">
        <f>G64</f>
        <v>-2.5199999945471063E-3</v>
      </c>
      <c r="V64" s="5" t="str">
        <f t="shared" si="15"/>
        <v>I</v>
      </c>
    </row>
    <row r="65" spans="1:22" x14ac:dyDescent="0.2">
      <c r="A65" s="52" t="s">
        <v>39</v>
      </c>
      <c r="B65" s="53" t="s">
        <v>25</v>
      </c>
      <c r="C65" s="54">
        <v>54843.486109999998</v>
      </c>
      <c r="D65" s="54">
        <v>1.1999999999999999E-3</v>
      </c>
      <c r="E65">
        <f t="shared" si="9"/>
        <v>380.9999559829011</v>
      </c>
      <c r="F65">
        <f t="shared" si="10"/>
        <v>381</v>
      </c>
      <c r="G65">
        <f t="shared" si="11"/>
        <v>-2.7000000409316272E-4</v>
      </c>
      <c r="J65">
        <f>+G65</f>
        <v>-2.7000000409316272E-4</v>
      </c>
      <c r="O65">
        <f t="shared" ca="1" si="12"/>
        <v>0.10604883482677277</v>
      </c>
      <c r="P65">
        <f t="shared" ca="1" si="13"/>
        <v>-1.189092839858508E-2</v>
      </c>
      <c r="Q65" s="2">
        <f t="shared" si="14"/>
        <v>39824.986109999998</v>
      </c>
      <c r="R65">
        <f>G65</f>
        <v>-2.7000000409316272E-4</v>
      </c>
      <c r="V65" s="5" t="str">
        <f t="shared" si="15"/>
        <v>I</v>
      </c>
    </row>
    <row r="66" spans="1:22" x14ac:dyDescent="0.2">
      <c r="A66" t="s">
        <v>203</v>
      </c>
      <c r="B66" s="5" t="s">
        <v>26</v>
      </c>
      <c r="C66" s="14">
        <v>56334.045299999998</v>
      </c>
      <c r="D66" t="s">
        <v>52</v>
      </c>
      <c r="E66">
        <f t="shared" si="9"/>
        <v>624.00029018679481</v>
      </c>
      <c r="F66">
        <f t="shared" si="10"/>
        <v>624</v>
      </c>
      <c r="G66">
        <f t="shared" si="11"/>
        <v>1.7799999986891635E-3</v>
      </c>
      <c r="I66">
        <f>+G66</f>
        <v>1.7799999986891635E-3</v>
      </c>
      <c r="O66">
        <f t="shared" ca="1" si="12"/>
        <v>0.12745007939115133</v>
      </c>
      <c r="P66">
        <f t="shared" ca="1" si="13"/>
        <v>-1.9531077599163962E-2</v>
      </c>
      <c r="Q66" s="2">
        <f t="shared" si="14"/>
        <v>41315.545299999998</v>
      </c>
      <c r="R66">
        <f>G66</f>
        <v>1.7799999986891635E-3</v>
      </c>
      <c r="V66" s="5" t="str">
        <f t="shared" si="15"/>
        <v>I</v>
      </c>
    </row>
    <row r="67" spans="1:22" x14ac:dyDescent="0.2">
      <c r="A67" t="s">
        <v>203</v>
      </c>
      <c r="B67" s="5" t="s">
        <v>26</v>
      </c>
      <c r="C67" s="14">
        <v>56334.045700000002</v>
      </c>
      <c r="D67" t="s">
        <v>52</v>
      </c>
      <c r="E67">
        <f t="shared" si="9"/>
        <v>624.00035539731141</v>
      </c>
      <c r="F67">
        <f t="shared" si="10"/>
        <v>624</v>
      </c>
      <c r="G67">
        <f t="shared" si="11"/>
        <v>2.1800000031362288E-3</v>
      </c>
      <c r="I67">
        <f>+G67</f>
        <v>2.1800000031362288E-3</v>
      </c>
      <c r="O67">
        <f t="shared" ca="1" si="12"/>
        <v>0.12745007939115133</v>
      </c>
      <c r="P67">
        <f t="shared" ca="1" si="13"/>
        <v>-1.9531077599163962E-2</v>
      </c>
      <c r="Q67" s="2">
        <f t="shared" si="14"/>
        <v>41315.545700000002</v>
      </c>
      <c r="R67">
        <f>G67</f>
        <v>2.1800000031362288E-3</v>
      </c>
      <c r="V67" s="5" t="str">
        <f t="shared" si="15"/>
        <v>I</v>
      </c>
    </row>
    <row r="68" spans="1:22" x14ac:dyDescent="0.2">
      <c r="A68" t="s">
        <v>203</v>
      </c>
      <c r="B68" s="5" t="s">
        <v>26</v>
      </c>
      <c r="C68" s="14">
        <v>56334.046000000002</v>
      </c>
      <c r="D68" t="s">
        <v>52</v>
      </c>
      <c r="E68">
        <f t="shared" si="9"/>
        <v>624.00040430519823</v>
      </c>
      <c r="F68">
        <f t="shared" si="10"/>
        <v>624</v>
      </c>
      <c r="G68">
        <f t="shared" si="11"/>
        <v>2.4800000028335489E-3</v>
      </c>
      <c r="I68">
        <f>+G68</f>
        <v>2.4800000028335489E-3</v>
      </c>
      <c r="O68">
        <f t="shared" ca="1" si="12"/>
        <v>0.12745007939115133</v>
      </c>
      <c r="P68">
        <f t="shared" ca="1" si="13"/>
        <v>-1.9531077599163962E-2</v>
      </c>
      <c r="Q68" s="2">
        <f t="shared" si="14"/>
        <v>41315.546000000002</v>
      </c>
      <c r="R68">
        <f>G68</f>
        <v>2.4800000028335489E-3</v>
      </c>
      <c r="V68" s="5" t="str">
        <f t="shared" si="15"/>
        <v>I</v>
      </c>
    </row>
    <row r="69" spans="1:22" x14ac:dyDescent="0.2">
      <c r="A69" s="55" t="s">
        <v>0</v>
      </c>
      <c r="B69" s="56" t="s">
        <v>25</v>
      </c>
      <c r="C69" s="55">
        <v>57750.991800000003</v>
      </c>
      <c r="D69" s="55" t="s">
        <v>206</v>
      </c>
      <c r="E69">
        <f t="shared" si="9"/>
        <v>854.99982067108158</v>
      </c>
      <c r="F69">
        <f t="shared" si="10"/>
        <v>855</v>
      </c>
      <c r="G69">
        <f t="shared" si="11"/>
        <v>-1.1000000013154931E-3</v>
      </c>
      <c r="J69">
        <f>+G69</f>
        <v>-1.1000000013154931E-3</v>
      </c>
      <c r="O69">
        <f t="shared" ca="1" si="12"/>
        <v>0.14779447237210375</v>
      </c>
      <c r="P69">
        <f t="shared" ca="1" si="13"/>
        <v>-2.6793935481195734E-2</v>
      </c>
      <c r="Q69" s="2">
        <f t="shared" si="14"/>
        <v>42732.491800000003</v>
      </c>
      <c r="R69">
        <f>G69</f>
        <v>-1.1000000013154931E-3</v>
      </c>
      <c r="V69" s="5" t="str">
        <f t="shared" si="15"/>
        <v>I</v>
      </c>
    </row>
    <row r="70" spans="1:22" x14ac:dyDescent="0.2">
      <c r="B70" s="5"/>
      <c r="C70" s="14"/>
    </row>
    <row r="71" spans="1:22" x14ac:dyDescent="0.2">
      <c r="B71" s="5"/>
      <c r="C71" s="14"/>
    </row>
    <row r="72" spans="1:22" x14ac:dyDescent="0.2">
      <c r="B72" s="5"/>
      <c r="C72" s="14"/>
    </row>
    <row r="73" spans="1:22" x14ac:dyDescent="0.2">
      <c r="B73" s="5"/>
      <c r="C73" s="14"/>
    </row>
    <row r="74" spans="1:22" x14ac:dyDescent="0.2">
      <c r="B74" s="5"/>
      <c r="C74" s="14"/>
    </row>
    <row r="75" spans="1:22" x14ac:dyDescent="0.2">
      <c r="B75" s="5"/>
      <c r="C75" s="14"/>
    </row>
    <row r="76" spans="1:22" x14ac:dyDescent="0.2">
      <c r="B76" s="5"/>
      <c r="C76" s="14"/>
    </row>
    <row r="77" spans="1:22" x14ac:dyDescent="0.2">
      <c r="B77" s="5"/>
      <c r="C77" s="14"/>
    </row>
    <row r="78" spans="1:22" x14ac:dyDescent="0.2">
      <c r="B78" s="5"/>
      <c r="C78" s="14"/>
    </row>
    <row r="79" spans="1:22" x14ac:dyDescent="0.2">
      <c r="B79" s="5"/>
      <c r="C79" s="14"/>
    </row>
    <row r="80" spans="1:22" x14ac:dyDescent="0.2">
      <c r="B80" s="5"/>
      <c r="C80" s="14"/>
    </row>
    <row r="81" spans="2:3" x14ac:dyDescent="0.2">
      <c r="B81" s="5"/>
      <c r="C81" s="14"/>
    </row>
    <row r="82" spans="2:3" x14ac:dyDescent="0.2">
      <c r="B82" s="5"/>
      <c r="C82" s="14"/>
    </row>
    <row r="83" spans="2:3" x14ac:dyDescent="0.2">
      <c r="B83" s="5"/>
      <c r="C83" s="14"/>
    </row>
    <row r="84" spans="2:3" x14ac:dyDescent="0.2">
      <c r="B84" s="5"/>
      <c r="C84" s="14"/>
    </row>
    <row r="85" spans="2:3" x14ac:dyDescent="0.2">
      <c r="B85" s="5"/>
      <c r="C85" s="14"/>
    </row>
    <row r="86" spans="2:3" x14ac:dyDescent="0.2">
      <c r="B86" s="5"/>
      <c r="C86" s="14"/>
    </row>
    <row r="87" spans="2:3" x14ac:dyDescent="0.2">
      <c r="B87" s="5"/>
      <c r="C87" s="14"/>
    </row>
    <row r="88" spans="2:3" x14ac:dyDescent="0.2">
      <c r="B88" s="5"/>
      <c r="C88" s="14"/>
    </row>
    <row r="89" spans="2:3" x14ac:dyDescent="0.2">
      <c r="B89" s="5"/>
      <c r="C89" s="14"/>
    </row>
    <row r="90" spans="2:3" x14ac:dyDescent="0.2">
      <c r="B90" s="5"/>
      <c r="C90" s="14"/>
    </row>
    <row r="91" spans="2:3" x14ac:dyDescent="0.2">
      <c r="B91" s="5"/>
      <c r="C91" s="14"/>
    </row>
    <row r="92" spans="2:3" x14ac:dyDescent="0.2">
      <c r="B92" s="5"/>
      <c r="C92" s="14"/>
    </row>
    <row r="93" spans="2:3" x14ac:dyDescent="0.2">
      <c r="B93" s="5"/>
      <c r="C93" s="14"/>
    </row>
    <row r="94" spans="2:3" x14ac:dyDescent="0.2">
      <c r="B94" s="5"/>
      <c r="C94" s="14"/>
    </row>
    <row r="95" spans="2:3" x14ac:dyDescent="0.2">
      <c r="B95" s="5"/>
      <c r="C95" s="14"/>
    </row>
    <row r="96" spans="2:3" x14ac:dyDescent="0.2">
      <c r="B96" s="5"/>
      <c r="C96" s="14"/>
    </row>
    <row r="97" spans="2:3" x14ac:dyDescent="0.2">
      <c r="B97" s="5"/>
      <c r="C97" s="14"/>
    </row>
    <row r="98" spans="2:3" x14ac:dyDescent="0.2">
      <c r="B98" s="5"/>
      <c r="C98" s="14"/>
    </row>
    <row r="99" spans="2:3" x14ac:dyDescent="0.2">
      <c r="B99" s="5"/>
      <c r="C99" s="14"/>
    </row>
    <row r="100" spans="2:3" x14ac:dyDescent="0.2">
      <c r="B100" s="5"/>
      <c r="C100" s="14"/>
    </row>
    <row r="101" spans="2:3" x14ac:dyDescent="0.2">
      <c r="B101" s="5"/>
      <c r="C101" s="14"/>
    </row>
    <row r="102" spans="2:3" x14ac:dyDescent="0.2">
      <c r="B102" s="5"/>
      <c r="C102" s="14"/>
    </row>
    <row r="103" spans="2:3" x14ac:dyDescent="0.2">
      <c r="B103" s="5"/>
      <c r="C103" s="14"/>
    </row>
    <row r="104" spans="2:3" x14ac:dyDescent="0.2">
      <c r="B104" s="5"/>
      <c r="C104" s="14"/>
    </row>
    <row r="105" spans="2:3" x14ac:dyDescent="0.2">
      <c r="B105" s="5"/>
      <c r="C105" s="14"/>
    </row>
    <row r="106" spans="2:3" x14ac:dyDescent="0.2">
      <c r="B106" s="5"/>
      <c r="C106" s="14"/>
    </row>
    <row r="107" spans="2:3" x14ac:dyDescent="0.2">
      <c r="B107" s="5"/>
      <c r="C107" s="14"/>
    </row>
    <row r="108" spans="2:3" x14ac:dyDescent="0.2">
      <c r="B108" s="5"/>
      <c r="C108" s="14"/>
    </row>
    <row r="109" spans="2:3" x14ac:dyDescent="0.2">
      <c r="B109" s="5"/>
      <c r="C109" s="14"/>
    </row>
    <row r="110" spans="2:3" x14ac:dyDescent="0.2">
      <c r="B110" s="5"/>
      <c r="C110" s="14"/>
    </row>
    <row r="111" spans="2:3" x14ac:dyDescent="0.2">
      <c r="B111" s="5"/>
      <c r="C111" s="14"/>
    </row>
    <row r="112" spans="2:3" x14ac:dyDescent="0.2">
      <c r="B112" s="5"/>
      <c r="C112" s="14"/>
    </row>
    <row r="113" spans="2:3" x14ac:dyDescent="0.2">
      <c r="B113" s="5"/>
      <c r="C113" s="14"/>
    </row>
    <row r="114" spans="2:3" x14ac:dyDescent="0.2">
      <c r="B114" s="5"/>
      <c r="C114" s="14"/>
    </row>
    <row r="115" spans="2:3" x14ac:dyDescent="0.2">
      <c r="B115" s="5"/>
      <c r="C115" s="14"/>
    </row>
    <row r="116" spans="2:3" x14ac:dyDescent="0.2">
      <c r="B116" s="5"/>
      <c r="C116" s="14"/>
    </row>
    <row r="117" spans="2:3" x14ac:dyDescent="0.2">
      <c r="B117" s="5"/>
      <c r="C117" s="14"/>
    </row>
    <row r="118" spans="2:3" x14ac:dyDescent="0.2">
      <c r="B118" s="5"/>
      <c r="C118" s="14"/>
    </row>
    <row r="119" spans="2:3" x14ac:dyDescent="0.2">
      <c r="B119" s="5"/>
    </row>
    <row r="120" spans="2:3" x14ac:dyDescent="0.2">
      <c r="B120" s="5"/>
    </row>
    <row r="121" spans="2:3" x14ac:dyDescent="0.2">
      <c r="B121" s="5"/>
    </row>
    <row r="122" spans="2:3" x14ac:dyDescent="0.2">
      <c r="B122" s="5"/>
    </row>
    <row r="123" spans="2:3" x14ac:dyDescent="0.2">
      <c r="B123" s="5"/>
    </row>
    <row r="124" spans="2:3" x14ac:dyDescent="0.2">
      <c r="B124" s="5"/>
    </row>
    <row r="125" spans="2:3" x14ac:dyDescent="0.2">
      <c r="B125" s="5"/>
    </row>
    <row r="126" spans="2:3" x14ac:dyDescent="0.2">
      <c r="B126" s="5"/>
    </row>
    <row r="127" spans="2:3" x14ac:dyDescent="0.2">
      <c r="B127" s="5"/>
    </row>
    <row r="128" spans="2:3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</sheetData>
  <phoneticPr fontId="8" type="noConversion"/>
  <hyperlinks>
    <hyperlink ref="H63718" r:id="rId1" display="http://vsolj.cetus-net.org/bulletin.html"/>
    <hyperlink ref="H63711" r:id="rId2" display="https://www.aavso.org/ejaavso"/>
    <hyperlink ref="I63718" r:id="rId3" display="http://vsolj.cetus-net.org/bulletin.html"/>
    <hyperlink ref="AQ57369" r:id="rId4" display="http://cdsbib.u-strasbg.fr/cgi-bin/cdsbib?1990RMxAA..21..381G"/>
    <hyperlink ref="H63715" r:id="rId5" display="https://www.aavso.org/ejaavso"/>
    <hyperlink ref="AP4733" r:id="rId6" display="http://cdsbib.u-strasbg.fr/cgi-bin/cdsbib?1990RMxAA..21..381G"/>
    <hyperlink ref="AP4736" r:id="rId7" display="http://cdsbib.u-strasbg.fr/cgi-bin/cdsbib?1990RMxAA..21..381G"/>
    <hyperlink ref="AP4734" r:id="rId8" display="http://cdsbib.u-strasbg.fr/cgi-bin/cdsbib?1990RMxAA..21..381G"/>
    <hyperlink ref="AP4718" r:id="rId9" display="http://cdsbib.u-strasbg.fr/cgi-bin/cdsbib?1990RMxAA..21..381G"/>
    <hyperlink ref="AQ4947" r:id="rId10" display="http://cdsbib.u-strasbg.fr/cgi-bin/cdsbib?1990RMxAA..21..381G"/>
    <hyperlink ref="AQ4951" r:id="rId11" display="http://cdsbib.u-strasbg.fr/cgi-bin/cdsbib?1990RMxAA..21..381G"/>
    <hyperlink ref="AQ64631" r:id="rId12" display="http://cdsbib.u-strasbg.fr/cgi-bin/cdsbib?1990RMxAA..21..381G"/>
    <hyperlink ref="I1839" r:id="rId13" display="http://vsolj.cetus-net.org/bulletin.html"/>
    <hyperlink ref="H1839" r:id="rId14" display="http://vsolj.cetus-net.org/bulletin.html"/>
    <hyperlink ref="AQ65292" r:id="rId15" display="http://cdsbib.u-strasbg.fr/cgi-bin/cdsbib?1990RMxAA..21..381G"/>
    <hyperlink ref="AQ65291" r:id="rId16" display="http://cdsbib.u-strasbg.fr/cgi-bin/cdsbib?1990RMxAA..21..381G"/>
    <hyperlink ref="AP3009" r:id="rId17" display="http://cdsbib.u-strasbg.fr/cgi-bin/cdsbib?1990RMxAA..21..381G"/>
    <hyperlink ref="AP3027" r:id="rId18" display="http://cdsbib.u-strasbg.fr/cgi-bin/cdsbib?1990RMxAA..21..381G"/>
    <hyperlink ref="AP3028" r:id="rId19" display="http://cdsbib.u-strasbg.fr/cgi-bin/cdsbib?1990RMxAA..21..381G"/>
    <hyperlink ref="AP302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5"/>
  <sheetViews>
    <sheetView topLeftCell="A12" workbookViewId="0">
      <selection activeCell="A12" sqref="A12:D55"/>
    </sheetView>
  </sheetViews>
  <sheetFormatPr defaultRowHeight="12.75" x14ac:dyDescent="0.2"/>
  <cols>
    <col min="1" max="1" width="19.7109375" style="14" customWidth="1"/>
    <col min="2" max="2" width="4.42578125" style="32" customWidth="1"/>
    <col min="3" max="3" width="12.7109375" style="14" customWidth="1"/>
    <col min="4" max="4" width="5.42578125" style="32" customWidth="1"/>
    <col min="5" max="5" width="14.85546875" style="32" customWidth="1"/>
    <col min="6" max="6" width="9.140625" style="32"/>
    <col min="7" max="7" width="12" style="32" customWidth="1"/>
    <col min="8" max="8" width="14.140625" style="14" customWidth="1"/>
    <col min="9" max="9" width="22.5703125" style="32" customWidth="1"/>
    <col min="10" max="10" width="25.140625" style="32" customWidth="1"/>
    <col min="11" max="11" width="15.7109375" style="32" customWidth="1"/>
    <col min="12" max="12" width="14.140625" style="32" customWidth="1"/>
    <col min="13" max="13" width="9.5703125" style="32" customWidth="1"/>
    <col min="14" max="14" width="14.140625" style="32" customWidth="1"/>
    <col min="15" max="15" width="23.42578125" style="32" customWidth="1"/>
    <col min="16" max="16" width="16.5703125" style="32" customWidth="1"/>
    <col min="17" max="17" width="41" style="32" customWidth="1"/>
    <col min="18" max="16384" width="9.140625" style="32"/>
  </cols>
  <sheetData>
    <row r="1" spans="1:16" ht="15.75" x14ac:dyDescent="0.25">
      <c r="A1" s="38" t="s">
        <v>43</v>
      </c>
      <c r="I1" s="39" t="s">
        <v>44</v>
      </c>
      <c r="J1" s="40" t="s">
        <v>45</v>
      </c>
    </row>
    <row r="2" spans="1:16" x14ac:dyDescent="0.2">
      <c r="I2" s="41" t="s">
        <v>32</v>
      </c>
      <c r="J2" s="42" t="s">
        <v>46</v>
      </c>
    </row>
    <row r="3" spans="1:16" x14ac:dyDescent="0.2">
      <c r="A3" s="43" t="s">
        <v>47</v>
      </c>
      <c r="I3" s="41" t="s">
        <v>48</v>
      </c>
      <c r="J3" s="42" t="s">
        <v>49</v>
      </c>
    </row>
    <row r="4" spans="1:16" x14ac:dyDescent="0.2">
      <c r="I4" s="41" t="s">
        <v>50</v>
      </c>
      <c r="J4" s="42" t="s">
        <v>49</v>
      </c>
    </row>
    <row r="5" spans="1:16" ht="13.5" thickBot="1" x14ac:dyDescent="0.25">
      <c r="I5" s="44" t="s">
        <v>51</v>
      </c>
      <c r="J5" s="45" t="s">
        <v>52</v>
      </c>
    </row>
    <row r="10" spans="1:16" ht="13.5" thickBot="1" x14ac:dyDescent="0.25"/>
    <row r="11" spans="1:16" ht="12.75" customHeight="1" thickBot="1" x14ac:dyDescent="0.25">
      <c r="A11" s="14" t="str">
        <f t="shared" ref="A11:A55" si="0">P11</f>
        <v>BAVM 186 </v>
      </c>
      <c r="B11" s="5" t="str">
        <f t="shared" ref="B11:B55" si="1">IF(H11=INT(H11),"I","II")</f>
        <v>I</v>
      </c>
      <c r="C11" s="14">
        <f t="shared" ref="C11:C55" si="2">1*G11</f>
        <v>54150.3514</v>
      </c>
      <c r="D11" s="32" t="str">
        <f t="shared" ref="D11:D55" si="3">VLOOKUP(F11,I$1:J$5,2,FALSE)</f>
        <v>vis</v>
      </c>
      <c r="E11" s="46">
        <f>VLOOKUP(C11,'Active 1'!C$21:E$973,3,FALSE)</f>
        <v>268.00077600513811</v>
      </c>
      <c r="F11" s="5" t="s">
        <v>51</v>
      </c>
      <c r="G11" s="32" t="str">
        <f t="shared" ref="G11:G55" si="4">MID(I11,3,LEN(I11)-3)</f>
        <v>54150.3514</v>
      </c>
      <c r="H11" s="14">
        <f t="shared" ref="H11:H55" si="5">1*K11</f>
        <v>24459</v>
      </c>
      <c r="I11" s="47" t="s">
        <v>185</v>
      </c>
      <c r="J11" s="48" t="s">
        <v>186</v>
      </c>
      <c r="K11" s="47">
        <v>24459</v>
      </c>
      <c r="L11" s="47" t="s">
        <v>187</v>
      </c>
      <c r="M11" s="48" t="s">
        <v>178</v>
      </c>
      <c r="N11" s="48" t="s">
        <v>188</v>
      </c>
      <c r="O11" s="49" t="s">
        <v>189</v>
      </c>
      <c r="P11" s="50" t="s">
        <v>190</v>
      </c>
    </row>
    <row r="12" spans="1:16" ht="12.75" customHeight="1" thickBot="1" x14ac:dyDescent="0.25">
      <c r="A12" s="14" t="str">
        <f t="shared" si="0"/>
        <v> AHSB 7.7.379 </v>
      </c>
      <c r="B12" s="5" t="str">
        <f t="shared" si="1"/>
        <v>I</v>
      </c>
      <c r="C12" s="14">
        <f t="shared" si="2"/>
        <v>29691.414000000001</v>
      </c>
      <c r="D12" s="32" t="str">
        <f t="shared" si="3"/>
        <v>vis</v>
      </c>
      <c r="E12" s="46">
        <f>VLOOKUP(C12,'Active 1'!C$21:E$973,3,FALSE)</f>
        <v>-3719.449036351602</v>
      </c>
      <c r="F12" s="5" t="s">
        <v>51</v>
      </c>
      <c r="G12" s="32" t="str">
        <f t="shared" si="4"/>
        <v>29691.414</v>
      </c>
      <c r="H12" s="14">
        <f t="shared" si="5"/>
        <v>0</v>
      </c>
      <c r="I12" s="47" t="s">
        <v>54</v>
      </c>
      <c r="J12" s="48" t="s">
        <v>55</v>
      </c>
      <c r="K12" s="47">
        <v>0</v>
      </c>
      <c r="L12" s="47" t="s">
        <v>56</v>
      </c>
      <c r="M12" s="48" t="s">
        <v>57</v>
      </c>
      <c r="N12" s="48"/>
      <c r="O12" s="49" t="s">
        <v>58</v>
      </c>
      <c r="P12" s="49" t="s">
        <v>59</v>
      </c>
    </row>
    <row r="13" spans="1:16" ht="12.75" customHeight="1" thickBot="1" x14ac:dyDescent="0.25">
      <c r="A13" s="14" t="str">
        <f t="shared" si="0"/>
        <v> AHSB 7.7.379 </v>
      </c>
      <c r="B13" s="5" t="str">
        <f t="shared" si="1"/>
        <v>I</v>
      </c>
      <c r="C13" s="14">
        <f t="shared" si="2"/>
        <v>29696.32</v>
      </c>
      <c r="D13" s="32" t="str">
        <f t="shared" si="3"/>
        <v>vis</v>
      </c>
      <c r="E13" s="46">
        <f>VLOOKUP(C13,'Active 1'!C$21:E$973,3,FALSE)</f>
        <v>-3718.6492293747292</v>
      </c>
      <c r="F13" s="5" t="s">
        <v>51</v>
      </c>
      <c r="G13" s="32" t="str">
        <f t="shared" si="4"/>
        <v>29696.320</v>
      </c>
      <c r="H13" s="14">
        <f t="shared" si="5"/>
        <v>5</v>
      </c>
      <c r="I13" s="47" t="s">
        <v>60</v>
      </c>
      <c r="J13" s="48" t="s">
        <v>61</v>
      </c>
      <c r="K13" s="47">
        <v>5</v>
      </c>
      <c r="L13" s="47" t="s">
        <v>62</v>
      </c>
      <c r="M13" s="48" t="s">
        <v>57</v>
      </c>
      <c r="N13" s="48"/>
      <c r="O13" s="49" t="s">
        <v>58</v>
      </c>
      <c r="P13" s="49" t="s">
        <v>59</v>
      </c>
    </row>
    <row r="14" spans="1:16" ht="12.75" customHeight="1" thickBot="1" x14ac:dyDescent="0.25">
      <c r="A14" s="14" t="str">
        <f t="shared" si="0"/>
        <v> AHSB 7.7.379 </v>
      </c>
      <c r="B14" s="5" t="str">
        <f t="shared" si="1"/>
        <v>I</v>
      </c>
      <c r="C14" s="14">
        <f t="shared" si="2"/>
        <v>29727.355</v>
      </c>
      <c r="D14" s="32" t="str">
        <f t="shared" si="3"/>
        <v>vis</v>
      </c>
      <c r="E14" s="46">
        <f>VLOOKUP(C14,'Active 1'!C$21:E$973,3,FALSE)</f>
        <v>-3713.5897084763892</v>
      </c>
      <c r="F14" s="5" t="s">
        <v>51</v>
      </c>
      <c r="G14" s="32" t="str">
        <f t="shared" si="4"/>
        <v>29727.355</v>
      </c>
      <c r="H14" s="14">
        <f t="shared" si="5"/>
        <v>36</v>
      </c>
      <c r="I14" s="47" t="s">
        <v>63</v>
      </c>
      <c r="J14" s="48" t="s">
        <v>64</v>
      </c>
      <c r="K14" s="47">
        <v>36</v>
      </c>
      <c r="L14" s="47" t="s">
        <v>65</v>
      </c>
      <c r="M14" s="48" t="s">
        <v>57</v>
      </c>
      <c r="N14" s="48"/>
      <c r="O14" s="49" t="s">
        <v>58</v>
      </c>
      <c r="P14" s="49" t="s">
        <v>59</v>
      </c>
    </row>
    <row r="15" spans="1:16" ht="12.75" customHeight="1" thickBot="1" x14ac:dyDescent="0.25">
      <c r="A15" s="14" t="str">
        <f t="shared" si="0"/>
        <v> AHSB 7.7.379 </v>
      </c>
      <c r="B15" s="5" t="str">
        <f t="shared" si="1"/>
        <v>I</v>
      </c>
      <c r="C15" s="14">
        <f t="shared" si="2"/>
        <v>30025.411</v>
      </c>
      <c r="D15" s="32" t="str">
        <f t="shared" si="3"/>
        <v>vis</v>
      </c>
      <c r="E15" s="46">
        <f>VLOOKUP(C15,'Active 1'!C$21:E$973,3,FALSE)</f>
        <v>-3664.9987446975701</v>
      </c>
      <c r="F15" s="5" t="s">
        <v>51</v>
      </c>
      <c r="G15" s="32" t="str">
        <f t="shared" si="4"/>
        <v>30025.411</v>
      </c>
      <c r="H15" s="14">
        <f t="shared" si="5"/>
        <v>334</v>
      </c>
      <c r="I15" s="47" t="s">
        <v>66</v>
      </c>
      <c r="J15" s="48" t="s">
        <v>67</v>
      </c>
      <c r="K15" s="47">
        <v>334</v>
      </c>
      <c r="L15" s="47" t="s">
        <v>53</v>
      </c>
      <c r="M15" s="48" t="s">
        <v>57</v>
      </c>
      <c r="N15" s="48"/>
      <c r="O15" s="49" t="s">
        <v>58</v>
      </c>
      <c r="P15" s="49" t="s">
        <v>59</v>
      </c>
    </row>
    <row r="16" spans="1:16" ht="12.75" customHeight="1" thickBot="1" x14ac:dyDescent="0.25">
      <c r="A16" s="14" t="str">
        <f t="shared" si="0"/>
        <v> AHSB 7.7.379 </v>
      </c>
      <c r="B16" s="5" t="str">
        <f t="shared" si="1"/>
        <v>I</v>
      </c>
      <c r="C16" s="14">
        <f t="shared" si="2"/>
        <v>31144.350999999999</v>
      </c>
      <c r="D16" s="32" t="str">
        <f t="shared" si="3"/>
        <v>vis</v>
      </c>
      <c r="E16" s="46">
        <f>VLOOKUP(C16,'Active 1'!C$21:E$973,3,FALSE)</f>
        <v>-3482.5821081907675</v>
      </c>
      <c r="F16" s="5" t="s">
        <v>51</v>
      </c>
      <c r="G16" s="32" t="str">
        <f t="shared" si="4"/>
        <v>31144.351</v>
      </c>
      <c r="H16" s="14">
        <f t="shared" si="5"/>
        <v>1453</v>
      </c>
      <c r="I16" s="47" t="s">
        <v>68</v>
      </c>
      <c r="J16" s="48" t="s">
        <v>69</v>
      </c>
      <c r="K16" s="47">
        <v>1453</v>
      </c>
      <c r="L16" s="47" t="s">
        <v>70</v>
      </c>
      <c r="M16" s="48" t="s">
        <v>57</v>
      </c>
      <c r="N16" s="48"/>
      <c r="O16" s="49" t="s">
        <v>58</v>
      </c>
      <c r="P16" s="49" t="s">
        <v>59</v>
      </c>
    </row>
    <row r="17" spans="1:16" ht="12.75" customHeight="1" thickBot="1" x14ac:dyDescent="0.25">
      <c r="A17" s="14" t="str">
        <f t="shared" si="0"/>
        <v> AHSB 7.7.379 </v>
      </c>
      <c r="B17" s="5" t="str">
        <f t="shared" si="1"/>
        <v>I</v>
      </c>
      <c r="C17" s="14">
        <f t="shared" si="2"/>
        <v>32888.58</v>
      </c>
      <c r="D17" s="32" t="str">
        <f t="shared" si="3"/>
        <v>vis</v>
      </c>
      <c r="E17" s="46">
        <f>VLOOKUP(C17,'Active 1'!C$21:E$973,3,FALSE)</f>
        <v>-3198.2269260740986</v>
      </c>
      <c r="F17" s="5" t="s">
        <v>51</v>
      </c>
      <c r="G17" s="32" t="str">
        <f t="shared" si="4"/>
        <v>32888.580</v>
      </c>
      <c r="H17" s="14">
        <f t="shared" si="5"/>
        <v>3197</v>
      </c>
      <c r="I17" s="47" t="s">
        <v>71</v>
      </c>
      <c r="J17" s="48" t="s">
        <v>72</v>
      </c>
      <c r="K17" s="47">
        <v>3197</v>
      </c>
      <c r="L17" s="47" t="s">
        <v>73</v>
      </c>
      <c r="M17" s="48" t="s">
        <v>57</v>
      </c>
      <c r="N17" s="48"/>
      <c r="O17" s="49" t="s">
        <v>58</v>
      </c>
      <c r="P17" s="49" t="s">
        <v>59</v>
      </c>
    </row>
    <row r="18" spans="1:16" ht="12.75" customHeight="1" thickBot="1" x14ac:dyDescent="0.25">
      <c r="A18" s="14" t="str">
        <f t="shared" si="0"/>
        <v> AHSB 7.7.379 </v>
      </c>
      <c r="B18" s="5" t="str">
        <f t="shared" si="1"/>
        <v>I</v>
      </c>
      <c r="C18" s="14">
        <f t="shared" si="2"/>
        <v>33000.355000000003</v>
      </c>
      <c r="D18" s="32" t="str">
        <f t="shared" si="3"/>
        <v>vis</v>
      </c>
      <c r="E18" s="46">
        <f>VLOOKUP(C18,'Active 1'!C$21:E$973,3,FALSE)</f>
        <v>-3180.004662551883</v>
      </c>
      <c r="F18" s="5" t="s">
        <v>51</v>
      </c>
      <c r="G18" s="32" t="str">
        <f t="shared" si="4"/>
        <v>33000.355</v>
      </c>
      <c r="H18" s="14">
        <f t="shared" si="5"/>
        <v>3309</v>
      </c>
      <c r="I18" s="47" t="s">
        <v>74</v>
      </c>
      <c r="J18" s="48" t="s">
        <v>75</v>
      </c>
      <c r="K18" s="47">
        <v>3309</v>
      </c>
      <c r="L18" s="47" t="s">
        <v>65</v>
      </c>
      <c r="M18" s="48" t="s">
        <v>57</v>
      </c>
      <c r="N18" s="48"/>
      <c r="O18" s="49" t="s">
        <v>58</v>
      </c>
      <c r="P18" s="49" t="s">
        <v>59</v>
      </c>
    </row>
    <row r="19" spans="1:16" ht="12.75" customHeight="1" thickBot="1" x14ac:dyDescent="0.25">
      <c r="A19" s="14" t="str">
        <f t="shared" si="0"/>
        <v> AHSB 7.7.379 </v>
      </c>
      <c r="B19" s="5" t="str">
        <f t="shared" si="1"/>
        <v>I</v>
      </c>
      <c r="C19" s="14">
        <f t="shared" si="2"/>
        <v>33217.351999999999</v>
      </c>
      <c r="D19" s="32" t="str">
        <f t="shared" si="3"/>
        <v>vis</v>
      </c>
      <c r="E19" s="46">
        <f>VLOOKUP(C19,'Active 1'!C$21:E$973,3,FALSE)</f>
        <v>-3144.6284467833289</v>
      </c>
      <c r="F19" s="5" t="s">
        <v>51</v>
      </c>
      <c r="G19" s="32" t="str">
        <f t="shared" si="4"/>
        <v>33217.352</v>
      </c>
      <c r="H19" s="14">
        <f t="shared" si="5"/>
        <v>3526</v>
      </c>
      <c r="I19" s="47" t="s">
        <v>76</v>
      </c>
      <c r="J19" s="48" t="s">
        <v>77</v>
      </c>
      <c r="K19" s="47">
        <v>3526</v>
      </c>
      <c r="L19" s="47" t="s">
        <v>78</v>
      </c>
      <c r="M19" s="48" t="s">
        <v>57</v>
      </c>
      <c r="N19" s="48"/>
      <c r="O19" s="49" t="s">
        <v>58</v>
      </c>
      <c r="P19" s="49" t="s">
        <v>59</v>
      </c>
    </row>
    <row r="20" spans="1:16" ht="12.75" customHeight="1" thickBot="1" x14ac:dyDescent="0.25">
      <c r="A20" s="14" t="str">
        <f t="shared" si="0"/>
        <v> AHSB 7.7.379 </v>
      </c>
      <c r="B20" s="5" t="str">
        <f t="shared" si="1"/>
        <v>I</v>
      </c>
      <c r="C20" s="14">
        <f t="shared" si="2"/>
        <v>33304.44</v>
      </c>
      <c r="D20" s="32" t="str">
        <f t="shared" si="3"/>
        <v>vis</v>
      </c>
      <c r="E20" s="46">
        <f>VLOOKUP(C20,'Active 1'!C$21:E$973,3,FALSE)</f>
        <v>-3130.4308132729484</v>
      </c>
      <c r="F20" s="5" t="s">
        <v>51</v>
      </c>
      <c r="G20" s="32" t="str">
        <f t="shared" si="4"/>
        <v>33304.440</v>
      </c>
      <c r="H20" s="14">
        <f t="shared" si="5"/>
        <v>3613</v>
      </c>
      <c r="I20" s="47" t="s">
        <v>79</v>
      </c>
      <c r="J20" s="48" t="s">
        <v>80</v>
      </c>
      <c r="K20" s="47">
        <v>3613</v>
      </c>
      <c r="L20" s="47" t="s">
        <v>81</v>
      </c>
      <c r="M20" s="48" t="s">
        <v>57</v>
      </c>
      <c r="N20" s="48"/>
      <c r="O20" s="49" t="s">
        <v>58</v>
      </c>
      <c r="P20" s="49" t="s">
        <v>59</v>
      </c>
    </row>
    <row r="21" spans="1:16" ht="12.75" customHeight="1" thickBot="1" x14ac:dyDescent="0.25">
      <c r="A21" s="14" t="str">
        <f t="shared" si="0"/>
        <v> AHSB 7.7.379 </v>
      </c>
      <c r="B21" s="5" t="str">
        <f t="shared" si="1"/>
        <v>I</v>
      </c>
      <c r="C21" s="14">
        <f t="shared" si="2"/>
        <v>34444.381999999998</v>
      </c>
      <c r="D21" s="32" t="str">
        <f t="shared" si="3"/>
        <v>vis</v>
      </c>
      <c r="E21" s="46">
        <f>VLOOKUP(C21,'Active 1'!C$21:E$973,3,FALSE)</f>
        <v>-2944.5902986315577</v>
      </c>
      <c r="F21" s="5" t="s">
        <v>51</v>
      </c>
      <c r="G21" s="32" t="str">
        <f t="shared" si="4"/>
        <v>34444.382</v>
      </c>
      <c r="H21" s="14">
        <f t="shared" si="5"/>
        <v>4753</v>
      </c>
      <c r="I21" s="47" t="s">
        <v>82</v>
      </c>
      <c r="J21" s="48" t="s">
        <v>83</v>
      </c>
      <c r="K21" s="47">
        <v>4753</v>
      </c>
      <c r="L21" s="47" t="s">
        <v>84</v>
      </c>
      <c r="M21" s="48" t="s">
        <v>57</v>
      </c>
      <c r="N21" s="48"/>
      <c r="O21" s="49" t="s">
        <v>58</v>
      </c>
      <c r="P21" s="49" t="s">
        <v>59</v>
      </c>
    </row>
    <row r="22" spans="1:16" ht="12.75" customHeight="1" thickBot="1" x14ac:dyDescent="0.25">
      <c r="A22" s="14" t="str">
        <f t="shared" si="0"/>
        <v> AHSB 7.7.379 </v>
      </c>
      <c r="B22" s="5" t="str">
        <f t="shared" si="1"/>
        <v>I</v>
      </c>
      <c r="C22" s="14">
        <f t="shared" si="2"/>
        <v>34769.436999999998</v>
      </c>
      <c r="D22" s="32" t="str">
        <f t="shared" si="3"/>
        <v>vis</v>
      </c>
      <c r="E22" s="46">
        <f>VLOOKUP(C22,'Active 1'!C$21:E$973,3,FALSE)</f>
        <v>-2891.5977880593032</v>
      </c>
      <c r="F22" s="5" t="s">
        <v>51</v>
      </c>
      <c r="G22" s="32" t="str">
        <f t="shared" si="4"/>
        <v>34769.437</v>
      </c>
      <c r="H22" s="14">
        <f t="shared" si="5"/>
        <v>5078</v>
      </c>
      <c r="I22" s="47" t="s">
        <v>85</v>
      </c>
      <c r="J22" s="48" t="s">
        <v>86</v>
      </c>
      <c r="K22" s="47">
        <v>5078</v>
      </c>
      <c r="L22" s="47" t="s">
        <v>87</v>
      </c>
      <c r="M22" s="48" t="s">
        <v>57</v>
      </c>
      <c r="N22" s="48"/>
      <c r="O22" s="49" t="s">
        <v>58</v>
      </c>
      <c r="P22" s="49" t="s">
        <v>59</v>
      </c>
    </row>
    <row r="23" spans="1:16" ht="12.75" customHeight="1" thickBot="1" x14ac:dyDescent="0.25">
      <c r="A23" s="14" t="str">
        <f t="shared" si="0"/>
        <v> AHSB 7.7.379 </v>
      </c>
      <c r="B23" s="5" t="str">
        <f t="shared" si="1"/>
        <v>I</v>
      </c>
      <c r="C23" s="14">
        <f t="shared" si="2"/>
        <v>35131.451999999997</v>
      </c>
      <c r="D23" s="32" t="str">
        <f t="shared" si="3"/>
        <v>vis</v>
      </c>
      <c r="E23" s="46">
        <f>VLOOKUP(C23,'Active 1'!C$21:E$973,3,FALSE)</f>
        <v>-2832.5798258227128</v>
      </c>
      <c r="F23" s="5" t="s">
        <v>51</v>
      </c>
      <c r="G23" s="32" t="str">
        <f t="shared" si="4"/>
        <v>35131.452</v>
      </c>
      <c r="H23" s="14">
        <f t="shared" si="5"/>
        <v>5440</v>
      </c>
      <c r="I23" s="47" t="s">
        <v>88</v>
      </c>
      <c r="J23" s="48" t="s">
        <v>89</v>
      </c>
      <c r="K23" s="47">
        <v>5440</v>
      </c>
      <c r="L23" s="47" t="s">
        <v>90</v>
      </c>
      <c r="M23" s="48" t="s">
        <v>57</v>
      </c>
      <c r="N23" s="48"/>
      <c r="O23" s="49" t="s">
        <v>58</v>
      </c>
      <c r="P23" s="49" t="s">
        <v>59</v>
      </c>
    </row>
    <row r="24" spans="1:16" ht="12.75" customHeight="1" thickBot="1" x14ac:dyDescent="0.25">
      <c r="A24" s="14" t="str">
        <f t="shared" si="0"/>
        <v> AHSB 7.7.379 </v>
      </c>
      <c r="B24" s="5" t="str">
        <f t="shared" si="1"/>
        <v>I</v>
      </c>
      <c r="C24" s="14">
        <f t="shared" si="2"/>
        <v>36597.374000000003</v>
      </c>
      <c r="D24" s="32" t="str">
        <f t="shared" si="3"/>
        <v>vis</v>
      </c>
      <c r="E24" s="46">
        <f>VLOOKUP(C24,'Active 1'!C$21:E$973,3,FALSE)</f>
        <v>-2593.5960012911678</v>
      </c>
      <c r="F24" s="5" t="s">
        <v>51</v>
      </c>
      <c r="G24" s="32" t="str">
        <f t="shared" si="4"/>
        <v>36597.374</v>
      </c>
      <c r="H24" s="14">
        <f t="shared" si="5"/>
        <v>6906</v>
      </c>
      <c r="I24" s="47" t="s">
        <v>91</v>
      </c>
      <c r="J24" s="48" t="s">
        <v>92</v>
      </c>
      <c r="K24" s="47">
        <v>6906</v>
      </c>
      <c r="L24" s="47" t="s">
        <v>93</v>
      </c>
      <c r="M24" s="48" t="s">
        <v>57</v>
      </c>
      <c r="N24" s="48"/>
      <c r="O24" s="49" t="s">
        <v>58</v>
      </c>
      <c r="P24" s="49" t="s">
        <v>59</v>
      </c>
    </row>
    <row r="25" spans="1:16" ht="12.75" customHeight="1" thickBot="1" x14ac:dyDescent="0.25">
      <c r="A25" s="14" t="str">
        <f t="shared" si="0"/>
        <v> MVS 12.51 </v>
      </c>
      <c r="B25" s="5" t="str">
        <f t="shared" si="1"/>
        <v>I</v>
      </c>
      <c r="C25" s="14">
        <f t="shared" si="2"/>
        <v>37558.650999999998</v>
      </c>
      <c r="D25" s="32" t="str">
        <f t="shared" si="3"/>
        <v>vis</v>
      </c>
      <c r="E25" s="46">
        <f>VLOOKUP(C25,'Active 1'!C$21:E$973,3,FALSE)</f>
        <v>-2436.8825786846392</v>
      </c>
      <c r="F25" s="5" t="s">
        <v>51</v>
      </c>
      <c r="G25" s="32" t="str">
        <f t="shared" si="4"/>
        <v>37558.651</v>
      </c>
      <c r="H25" s="14">
        <f t="shared" si="5"/>
        <v>7867</v>
      </c>
      <c r="I25" s="47" t="s">
        <v>94</v>
      </c>
      <c r="J25" s="48" t="s">
        <v>95</v>
      </c>
      <c r="K25" s="47">
        <v>7867</v>
      </c>
      <c r="L25" s="47" t="s">
        <v>96</v>
      </c>
      <c r="M25" s="48" t="s">
        <v>57</v>
      </c>
      <c r="N25" s="48"/>
      <c r="O25" s="49" t="s">
        <v>97</v>
      </c>
      <c r="P25" s="49" t="s">
        <v>98</v>
      </c>
    </row>
    <row r="26" spans="1:16" ht="12.75" customHeight="1" thickBot="1" x14ac:dyDescent="0.25">
      <c r="A26" s="14" t="str">
        <f t="shared" si="0"/>
        <v> MVS 12.51 </v>
      </c>
      <c r="B26" s="5" t="str">
        <f t="shared" si="1"/>
        <v>I</v>
      </c>
      <c r="C26" s="14">
        <f t="shared" si="2"/>
        <v>38004.601999999999</v>
      </c>
      <c r="D26" s="32" t="str">
        <f t="shared" si="3"/>
        <v>vis</v>
      </c>
      <c r="E26" s="46">
        <f>VLOOKUP(C26,'Active 1'!C$21:E$973,3,FALSE)</f>
        <v>-2364.1808418025494</v>
      </c>
      <c r="F26" s="5" t="s">
        <v>51</v>
      </c>
      <c r="G26" s="32" t="str">
        <f t="shared" si="4"/>
        <v>38004.602</v>
      </c>
      <c r="H26" s="14">
        <f t="shared" si="5"/>
        <v>8313</v>
      </c>
      <c r="I26" s="47" t="s">
        <v>99</v>
      </c>
      <c r="J26" s="48" t="s">
        <v>100</v>
      </c>
      <c r="K26" s="47">
        <v>8313</v>
      </c>
      <c r="L26" s="47" t="s">
        <v>101</v>
      </c>
      <c r="M26" s="48" t="s">
        <v>57</v>
      </c>
      <c r="N26" s="48"/>
      <c r="O26" s="49" t="s">
        <v>97</v>
      </c>
      <c r="P26" s="49" t="s">
        <v>98</v>
      </c>
    </row>
    <row r="27" spans="1:16" ht="12.75" customHeight="1" thickBot="1" x14ac:dyDescent="0.25">
      <c r="A27" s="14" t="str">
        <f t="shared" si="0"/>
        <v> MVS 12.51 </v>
      </c>
      <c r="B27" s="5" t="str">
        <f t="shared" si="1"/>
        <v>I</v>
      </c>
      <c r="C27" s="14">
        <f t="shared" si="2"/>
        <v>38005.624000000003</v>
      </c>
      <c r="D27" s="32" t="str">
        <f t="shared" si="3"/>
        <v>vis</v>
      </c>
      <c r="E27" s="46">
        <f>VLOOKUP(C27,'Active 1'!C$21:E$973,3,FALSE)</f>
        <v>-2364.0142289345577</v>
      </c>
      <c r="F27" s="5" t="s">
        <v>51</v>
      </c>
      <c r="G27" s="32" t="str">
        <f t="shared" si="4"/>
        <v>38005.624</v>
      </c>
      <c r="H27" s="14">
        <f t="shared" si="5"/>
        <v>8314</v>
      </c>
      <c r="I27" s="47" t="s">
        <v>102</v>
      </c>
      <c r="J27" s="48" t="s">
        <v>103</v>
      </c>
      <c r="K27" s="47">
        <v>8314</v>
      </c>
      <c r="L27" s="47" t="s">
        <v>104</v>
      </c>
      <c r="M27" s="48" t="s">
        <v>57</v>
      </c>
      <c r="N27" s="48"/>
      <c r="O27" s="49" t="s">
        <v>97</v>
      </c>
      <c r="P27" s="49" t="s">
        <v>98</v>
      </c>
    </row>
    <row r="28" spans="1:16" ht="12.75" customHeight="1" thickBot="1" x14ac:dyDescent="0.25">
      <c r="A28" s="14" t="str">
        <f t="shared" si="0"/>
        <v> MHAR 20.8 </v>
      </c>
      <c r="B28" s="5" t="str">
        <f t="shared" si="1"/>
        <v>I</v>
      </c>
      <c r="C28" s="14">
        <f t="shared" si="2"/>
        <v>38106.364000000001</v>
      </c>
      <c r="D28" s="32" t="str">
        <f t="shared" si="3"/>
        <v>vis</v>
      </c>
      <c r="E28" s="46">
        <f>VLOOKUP(C28,'Active 1'!C$21:E$973,3,FALSE)</f>
        <v>-2347.5909605182933</v>
      </c>
      <c r="F28" s="5" t="s">
        <v>51</v>
      </c>
      <c r="G28" s="32" t="str">
        <f t="shared" si="4"/>
        <v>38106.364</v>
      </c>
      <c r="H28" s="14">
        <f t="shared" si="5"/>
        <v>8415</v>
      </c>
      <c r="I28" s="47" t="s">
        <v>105</v>
      </c>
      <c r="J28" s="48" t="s">
        <v>106</v>
      </c>
      <c r="K28" s="47">
        <v>8415</v>
      </c>
      <c r="L28" s="47" t="s">
        <v>107</v>
      </c>
      <c r="M28" s="48" t="s">
        <v>57</v>
      </c>
      <c r="N28" s="48"/>
      <c r="O28" s="49" t="s">
        <v>108</v>
      </c>
      <c r="P28" s="49" t="s">
        <v>109</v>
      </c>
    </row>
    <row r="29" spans="1:16" ht="12.75" customHeight="1" thickBot="1" x14ac:dyDescent="0.25">
      <c r="A29" s="14" t="str">
        <f t="shared" si="0"/>
        <v> MVS 12.51 </v>
      </c>
      <c r="B29" s="5" t="str">
        <f t="shared" si="1"/>
        <v>I</v>
      </c>
      <c r="C29" s="14">
        <f t="shared" si="2"/>
        <v>38842.370000000003</v>
      </c>
      <c r="D29" s="32" t="str">
        <f t="shared" si="3"/>
        <v>vis</v>
      </c>
      <c r="E29" s="46">
        <f>VLOOKUP(C29,'Active 1'!C$21:E$973,3,FALSE)</f>
        <v>-2227.60263320063</v>
      </c>
      <c r="F29" s="5" t="s">
        <v>51</v>
      </c>
      <c r="G29" s="32" t="str">
        <f t="shared" si="4"/>
        <v>38842.370</v>
      </c>
      <c r="H29" s="14">
        <f t="shared" si="5"/>
        <v>9151</v>
      </c>
      <c r="I29" s="47" t="s">
        <v>110</v>
      </c>
      <c r="J29" s="48" t="s">
        <v>111</v>
      </c>
      <c r="K29" s="47">
        <v>9151</v>
      </c>
      <c r="L29" s="47" t="s">
        <v>112</v>
      </c>
      <c r="M29" s="48" t="s">
        <v>57</v>
      </c>
      <c r="N29" s="48"/>
      <c r="O29" s="49" t="s">
        <v>97</v>
      </c>
      <c r="P29" s="49" t="s">
        <v>98</v>
      </c>
    </row>
    <row r="30" spans="1:16" ht="12.75" customHeight="1" thickBot="1" x14ac:dyDescent="0.25">
      <c r="A30" s="14" t="str">
        <f t="shared" si="0"/>
        <v> MVS 12.51 </v>
      </c>
      <c r="B30" s="5" t="str">
        <f t="shared" si="1"/>
        <v>I</v>
      </c>
      <c r="C30" s="14">
        <f t="shared" si="2"/>
        <v>39054.616000000002</v>
      </c>
      <c r="D30" s="32" t="str">
        <f t="shared" si="3"/>
        <v>vis</v>
      </c>
      <c r="E30" s="46">
        <f>VLOOKUP(C30,'Active 1'!C$21:E$973,3,FALSE)</f>
        <v>-2193.0009553340574</v>
      </c>
      <c r="F30" s="5" t="s">
        <v>51</v>
      </c>
      <c r="G30" s="32" t="str">
        <f t="shared" si="4"/>
        <v>39054.616</v>
      </c>
      <c r="H30" s="14">
        <f t="shared" si="5"/>
        <v>9363</v>
      </c>
      <c r="I30" s="47" t="s">
        <v>113</v>
      </c>
      <c r="J30" s="48" t="s">
        <v>114</v>
      </c>
      <c r="K30" s="47">
        <v>9363</v>
      </c>
      <c r="L30" s="47" t="s">
        <v>115</v>
      </c>
      <c r="M30" s="48" t="s">
        <v>57</v>
      </c>
      <c r="N30" s="48"/>
      <c r="O30" s="49" t="s">
        <v>97</v>
      </c>
      <c r="P30" s="49" t="s">
        <v>98</v>
      </c>
    </row>
    <row r="31" spans="1:16" ht="12.75" customHeight="1" thickBot="1" x14ac:dyDescent="0.25">
      <c r="A31" s="14" t="str">
        <f t="shared" si="0"/>
        <v> MHAR 20.8 </v>
      </c>
      <c r="B31" s="5" t="str">
        <f t="shared" si="1"/>
        <v>I</v>
      </c>
      <c r="C31" s="14">
        <f t="shared" si="2"/>
        <v>39054.616999999998</v>
      </c>
      <c r="D31" s="32" t="str">
        <f t="shared" si="3"/>
        <v>vis</v>
      </c>
      <c r="E31" s="46">
        <f>VLOOKUP(C31,'Active 1'!C$21:E$973,3,FALSE)</f>
        <v>-2193.0007923077683</v>
      </c>
      <c r="F31" s="5" t="s">
        <v>51</v>
      </c>
      <c r="G31" s="32" t="str">
        <f t="shared" si="4"/>
        <v>39054.617</v>
      </c>
      <c r="H31" s="14">
        <f t="shared" si="5"/>
        <v>9363</v>
      </c>
      <c r="I31" s="47" t="s">
        <v>116</v>
      </c>
      <c r="J31" s="48" t="s">
        <v>117</v>
      </c>
      <c r="K31" s="47">
        <v>9363</v>
      </c>
      <c r="L31" s="47" t="s">
        <v>118</v>
      </c>
      <c r="M31" s="48" t="s">
        <v>57</v>
      </c>
      <c r="N31" s="48"/>
      <c r="O31" s="49" t="s">
        <v>108</v>
      </c>
      <c r="P31" s="49" t="s">
        <v>109</v>
      </c>
    </row>
    <row r="32" spans="1:16" ht="12.75" customHeight="1" thickBot="1" x14ac:dyDescent="0.25">
      <c r="A32" s="14" t="str">
        <f t="shared" si="0"/>
        <v> MVS 12.51 </v>
      </c>
      <c r="B32" s="5" t="str">
        <f t="shared" si="1"/>
        <v>I</v>
      </c>
      <c r="C32" s="14">
        <f t="shared" si="2"/>
        <v>39508.476999999999</v>
      </c>
      <c r="D32" s="32" t="str">
        <f t="shared" si="3"/>
        <v>vis</v>
      </c>
      <c r="E32" s="46">
        <f>VLOOKUP(C32,'Active 1'!C$21:E$973,3,FALSE)</f>
        <v>-2119.009680501078</v>
      </c>
      <c r="F32" s="5" t="s">
        <v>51</v>
      </c>
      <c r="G32" s="32" t="str">
        <f t="shared" si="4"/>
        <v>39508.477</v>
      </c>
      <c r="H32" s="14">
        <f t="shared" si="5"/>
        <v>9817</v>
      </c>
      <c r="I32" s="47" t="s">
        <v>119</v>
      </c>
      <c r="J32" s="48" t="s">
        <v>120</v>
      </c>
      <c r="K32" s="47">
        <v>9817</v>
      </c>
      <c r="L32" s="47" t="s">
        <v>121</v>
      </c>
      <c r="M32" s="48" t="s">
        <v>57</v>
      </c>
      <c r="N32" s="48"/>
      <c r="O32" s="49" t="s">
        <v>97</v>
      </c>
      <c r="P32" s="49" t="s">
        <v>98</v>
      </c>
    </row>
    <row r="33" spans="1:16" ht="12.75" customHeight="1" thickBot="1" x14ac:dyDescent="0.25">
      <c r="A33" s="14" t="str">
        <f t="shared" si="0"/>
        <v> MVS 12.51 </v>
      </c>
      <c r="B33" s="5" t="str">
        <f t="shared" si="1"/>
        <v>I</v>
      </c>
      <c r="C33" s="14">
        <f t="shared" si="2"/>
        <v>39827.56</v>
      </c>
      <c r="D33" s="32" t="str">
        <f t="shared" si="3"/>
        <v>vis</v>
      </c>
      <c r="E33" s="46">
        <f>VLOOKUP(C33,'Active 1'!C$21:E$973,3,FALSE)</f>
        <v>-2066.9907629304307</v>
      </c>
      <c r="F33" s="5" t="s">
        <v>51</v>
      </c>
      <c r="G33" s="32" t="str">
        <f t="shared" si="4"/>
        <v>39827.56</v>
      </c>
      <c r="H33" s="14">
        <f t="shared" si="5"/>
        <v>10136</v>
      </c>
      <c r="I33" s="47" t="s">
        <v>122</v>
      </c>
      <c r="J33" s="48" t="s">
        <v>123</v>
      </c>
      <c r="K33" s="47">
        <v>10136</v>
      </c>
      <c r="L33" s="47" t="s">
        <v>124</v>
      </c>
      <c r="M33" s="48" t="s">
        <v>57</v>
      </c>
      <c r="N33" s="48"/>
      <c r="O33" s="49" t="s">
        <v>97</v>
      </c>
      <c r="P33" s="49" t="s">
        <v>98</v>
      </c>
    </row>
    <row r="34" spans="1:16" ht="12.75" customHeight="1" thickBot="1" x14ac:dyDescent="0.25">
      <c r="A34" s="14" t="str">
        <f t="shared" si="0"/>
        <v> MHAR 20.8 </v>
      </c>
      <c r="B34" s="5" t="str">
        <f t="shared" si="1"/>
        <v>I</v>
      </c>
      <c r="C34" s="14">
        <f t="shared" si="2"/>
        <v>40473.614999999998</v>
      </c>
      <c r="D34" s="32" t="str">
        <f t="shared" si="3"/>
        <v>vis</v>
      </c>
      <c r="E34" s="46">
        <f>VLOOKUP(C34,'Active 1'!C$21:E$973,3,FALSE)</f>
        <v>-1961.6668133903279</v>
      </c>
      <c r="F34" s="5" t="s">
        <v>51</v>
      </c>
      <c r="G34" s="32" t="str">
        <f t="shared" si="4"/>
        <v>40473.615</v>
      </c>
      <c r="H34" s="14">
        <f t="shared" si="5"/>
        <v>10782</v>
      </c>
      <c r="I34" s="47" t="s">
        <v>125</v>
      </c>
      <c r="J34" s="48" t="s">
        <v>126</v>
      </c>
      <c r="K34" s="47">
        <v>10782</v>
      </c>
      <c r="L34" s="47" t="s">
        <v>127</v>
      </c>
      <c r="M34" s="48" t="s">
        <v>57</v>
      </c>
      <c r="N34" s="48"/>
      <c r="O34" s="49" t="s">
        <v>108</v>
      </c>
      <c r="P34" s="49" t="s">
        <v>109</v>
      </c>
    </row>
    <row r="35" spans="1:16" ht="12.75" customHeight="1" thickBot="1" x14ac:dyDescent="0.25">
      <c r="A35" s="14" t="str">
        <f t="shared" si="0"/>
        <v> MHAR 20.8 </v>
      </c>
      <c r="B35" s="5" t="str">
        <f t="shared" si="1"/>
        <v>I</v>
      </c>
      <c r="C35" s="14">
        <f t="shared" si="2"/>
        <v>41357.42</v>
      </c>
      <c r="D35" s="32" t="str">
        <f t="shared" si="3"/>
        <v>vis</v>
      </c>
      <c r="E35" s="46">
        <f>VLOOKUP(C35,'Active 1'!C$21:E$973,3,FALSE)</f>
        <v>-1817.5833634931976</v>
      </c>
      <c r="F35" s="5" t="s">
        <v>51</v>
      </c>
      <c r="G35" s="32" t="str">
        <f t="shared" si="4"/>
        <v>41357.420</v>
      </c>
      <c r="H35" s="14">
        <f t="shared" si="5"/>
        <v>11666</v>
      </c>
      <c r="I35" s="47" t="s">
        <v>128</v>
      </c>
      <c r="J35" s="48" t="s">
        <v>129</v>
      </c>
      <c r="K35" s="47">
        <v>11666</v>
      </c>
      <c r="L35" s="47" t="s">
        <v>130</v>
      </c>
      <c r="M35" s="48" t="s">
        <v>57</v>
      </c>
      <c r="N35" s="48"/>
      <c r="O35" s="49" t="s">
        <v>108</v>
      </c>
      <c r="P35" s="49" t="s">
        <v>109</v>
      </c>
    </row>
    <row r="36" spans="1:16" ht="12.75" customHeight="1" thickBot="1" x14ac:dyDescent="0.25">
      <c r="A36" s="14" t="str">
        <f t="shared" si="0"/>
        <v> MVS 12.51 </v>
      </c>
      <c r="B36" s="5" t="str">
        <f t="shared" si="1"/>
        <v>I</v>
      </c>
      <c r="C36" s="14">
        <f t="shared" si="2"/>
        <v>42839.285000000003</v>
      </c>
      <c r="D36" s="32" t="str">
        <f t="shared" si="3"/>
        <v>vis</v>
      </c>
      <c r="E36" s="46">
        <f>VLOOKUP(C36,'Active 1'!C$21:E$973,3,FALSE)</f>
        <v>-1576.0004108262497</v>
      </c>
      <c r="F36" s="5" t="s">
        <v>51</v>
      </c>
      <c r="G36" s="32" t="str">
        <f t="shared" si="4"/>
        <v>42839.285</v>
      </c>
      <c r="H36" s="14">
        <f t="shared" si="5"/>
        <v>13148</v>
      </c>
      <c r="I36" s="47" t="s">
        <v>131</v>
      </c>
      <c r="J36" s="48" t="s">
        <v>132</v>
      </c>
      <c r="K36" s="47">
        <v>13148</v>
      </c>
      <c r="L36" s="47" t="s">
        <v>133</v>
      </c>
      <c r="M36" s="48" t="s">
        <v>57</v>
      </c>
      <c r="N36" s="48"/>
      <c r="O36" s="49" t="s">
        <v>97</v>
      </c>
      <c r="P36" s="49" t="s">
        <v>98</v>
      </c>
    </row>
    <row r="37" spans="1:16" ht="12.75" customHeight="1" thickBot="1" x14ac:dyDescent="0.25">
      <c r="A37" s="14" t="str">
        <f t="shared" si="0"/>
        <v> MHAR 20.8 </v>
      </c>
      <c r="B37" s="5" t="str">
        <f t="shared" si="1"/>
        <v>I</v>
      </c>
      <c r="C37" s="14">
        <f t="shared" si="2"/>
        <v>43078.508000000002</v>
      </c>
      <c r="D37" s="32" t="str">
        <f t="shared" si="3"/>
        <v>vis</v>
      </c>
      <c r="E37" s="46">
        <f>VLOOKUP(C37,'Active 1'!C$21:E$973,3,FALSE)</f>
        <v>-1537.000772744613</v>
      </c>
      <c r="F37" s="5" t="s">
        <v>51</v>
      </c>
      <c r="G37" s="32" t="str">
        <f t="shared" si="4"/>
        <v>43078.508</v>
      </c>
      <c r="H37" s="14">
        <f t="shared" si="5"/>
        <v>13387</v>
      </c>
      <c r="I37" s="47" t="s">
        <v>134</v>
      </c>
      <c r="J37" s="48" t="s">
        <v>135</v>
      </c>
      <c r="K37" s="47">
        <v>13387</v>
      </c>
      <c r="L37" s="47" t="s">
        <v>136</v>
      </c>
      <c r="M37" s="48" t="s">
        <v>57</v>
      </c>
      <c r="N37" s="48"/>
      <c r="O37" s="49" t="s">
        <v>108</v>
      </c>
      <c r="P37" s="49" t="s">
        <v>109</v>
      </c>
    </row>
    <row r="38" spans="1:16" ht="12.75" customHeight="1" thickBot="1" x14ac:dyDescent="0.25">
      <c r="A38" s="14" t="str">
        <f t="shared" si="0"/>
        <v> MHAR 20.8 </v>
      </c>
      <c r="B38" s="5" t="str">
        <f t="shared" si="1"/>
        <v>I</v>
      </c>
      <c r="C38" s="14">
        <f t="shared" si="2"/>
        <v>45403.324999999997</v>
      </c>
      <c r="D38" s="32" t="str">
        <f t="shared" si="3"/>
        <v>vis</v>
      </c>
      <c r="E38" s="46">
        <f>VLOOKUP(C38,'Active 1'!C$21:E$973,3,FALSE)</f>
        <v>-1157.9944831903601</v>
      </c>
      <c r="F38" s="5" t="s">
        <v>51</v>
      </c>
      <c r="G38" s="32" t="str">
        <f t="shared" si="4"/>
        <v>45403.325</v>
      </c>
      <c r="H38" s="14">
        <f t="shared" si="5"/>
        <v>15712</v>
      </c>
      <c r="I38" s="47" t="s">
        <v>137</v>
      </c>
      <c r="J38" s="48" t="s">
        <v>138</v>
      </c>
      <c r="K38" s="47">
        <v>15712</v>
      </c>
      <c r="L38" s="47" t="s">
        <v>139</v>
      </c>
      <c r="M38" s="48" t="s">
        <v>57</v>
      </c>
      <c r="N38" s="48"/>
      <c r="O38" s="49" t="s">
        <v>108</v>
      </c>
      <c r="P38" s="49" t="s">
        <v>109</v>
      </c>
    </row>
    <row r="39" spans="1:16" ht="12.75" customHeight="1" thickBot="1" x14ac:dyDescent="0.25">
      <c r="A39" s="14" t="str">
        <f t="shared" si="0"/>
        <v> BAVR 53,33 </v>
      </c>
      <c r="B39" s="5" t="str">
        <f t="shared" si="1"/>
        <v>I</v>
      </c>
      <c r="C39" s="14">
        <f t="shared" si="2"/>
        <v>47967.326999999997</v>
      </c>
      <c r="D39" s="32" t="str">
        <f t="shared" si="3"/>
        <v>vis</v>
      </c>
      <c r="E39" s="46">
        <f>VLOOKUP(C39,'Active 1'!C$21:E$973,3,FALSE)</f>
        <v>-739.994750553475</v>
      </c>
      <c r="F39" s="5" t="s">
        <v>51</v>
      </c>
      <c r="G39" s="32" t="str">
        <f t="shared" si="4"/>
        <v>47967.327</v>
      </c>
      <c r="H39" s="14">
        <f t="shared" si="5"/>
        <v>18276</v>
      </c>
      <c r="I39" s="47" t="s">
        <v>140</v>
      </c>
      <c r="J39" s="48" t="s">
        <v>141</v>
      </c>
      <c r="K39" s="47">
        <v>18276</v>
      </c>
      <c r="L39" s="47" t="s">
        <v>142</v>
      </c>
      <c r="M39" s="48" t="s">
        <v>57</v>
      </c>
      <c r="N39" s="48"/>
      <c r="O39" s="49" t="s">
        <v>143</v>
      </c>
      <c r="P39" s="49" t="s">
        <v>144</v>
      </c>
    </row>
    <row r="40" spans="1:16" ht="12.75" customHeight="1" thickBot="1" x14ac:dyDescent="0.25">
      <c r="A40" s="14" t="str">
        <f t="shared" si="0"/>
        <v> BAVR 53,33 </v>
      </c>
      <c r="B40" s="5" t="str">
        <f t="shared" si="1"/>
        <v>I</v>
      </c>
      <c r="C40" s="14">
        <f t="shared" si="2"/>
        <v>48681.326999999997</v>
      </c>
      <c r="D40" s="32" t="str">
        <f t="shared" si="3"/>
        <v>vis</v>
      </c>
      <c r="E40" s="46">
        <f>VLOOKUP(C40,'Active 1'!C$21:E$973,3,FALSE)</f>
        <v>-623.59397976517766</v>
      </c>
      <c r="F40" s="5" t="s">
        <v>51</v>
      </c>
      <c r="G40" s="32" t="str">
        <f t="shared" si="4"/>
        <v>48681.327</v>
      </c>
      <c r="H40" s="14">
        <f t="shared" si="5"/>
        <v>18990</v>
      </c>
      <c r="I40" s="47" t="s">
        <v>145</v>
      </c>
      <c r="J40" s="48" t="s">
        <v>146</v>
      </c>
      <c r="K40" s="47">
        <v>18990</v>
      </c>
      <c r="L40" s="47" t="s">
        <v>142</v>
      </c>
      <c r="M40" s="48" t="s">
        <v>57</v>
      </c>
      <c r="N40" s="48"/>
      <c r="O40" s="49" t="s">
        <v>143</v>
      </c>
      <c r="P40" s="49" t="s">
        <v>144</v>
      </c>
    </row>
    <row r="41" spans="1:16" ht="12.75" customHeight="1" thickBot="1" x14ac:dyDescent="0.25">
      <c r="A41" s="14" t="str">
        <f t="shared" si="0"/>
        <v> BAVR 53,33 </v>
      </c>
      <c r="B41" s="5" t="str">
        <f t="shared" si="1"/>
        <v>I</v>
      </c>
      <c r="C41" s="14">
        <f t="shared" si="2"/>
        <v>48681.417999999998</v>
      </c>
      <c r="D41" s="32" t="str">
        <f t="shared" si="3"/>
        <v>vis</v>
      </c>
      <c r="E41" s="46">
        <f>VLOOKUP(C41,'Active 1'!C$21:E$973,3,FALSE)</f>
        <v>-623.57914437282227</v>
      </c>
      <c r="F41" s="5" t="s">
        <v>51</v>
      </c>
      <c r="G41" s="32" t="str">
        <f t="shared" si="4"/>
        <v>48681.418</v>
      </c>
      <c r="H41" s="14">
        <f t="shared" si="5"/>
        <v>18990</v>
      </c>
      <c r="I41" s="47" t="s">
        <v>147</v>
      </c>
      <c r="J41" s="48" t="s">
        <v>148</v>
      </c>
      <c r="K41" s="47">
        <v>18990</v>
      </c>
      <c r="L41" s="47" t="s">
        <v>149</v>
      </c>
      <c r="M41" s="48" t="s">
        <v>57</v>
      </c>
      <c r="N41" s="48"/>
      <c r="O41" s="49" t="s">
        <v>143</v>
      </c>
      <c r="P41" s="49" t="s">
        <v>144</v>
      </c>
    </row>
    <row r="42" spans="1:16" ht="12.75" customHeight="1" thickBot="1" x14ac:dyDescent="0.25">
      <c r="A42" s="14" t="str">
        <f t="shared" si="0"/>
        <v> BAVR 53,33 </v>
      </c>
      <c r="B42" s="5" t="str">
        <f t="shared" si="1"/>
        <v>I</v>
      </c>
      <c r="C42" s="14">
        <f t="shared" si="2"/>
        <v>48893.591999999997</v>
      </c>
      <c r="D42" s="32" t="str">
        <f t="shared" si="3"/>
        <v>vis</v>
      </c>
      <c r="E42" s="46">
        <f>VLOOKUP(C42,'Active 1'!C$21:E$973,3,FALSE)</f>
        <v>-588.98920439910228</v>
      </c>
      <c r="F42" s="5" t="s">
        <v>51</v>
      </c>
      <c r="G42" s="32" t="str">
        <f t="shared" si="4"/>
        <v>48893.592</v>
      </c>
      <c r="H42" s="14">
        <f t="shared" si="5"/>
        <v>19202</v>
      </c>
      <c r="I42" s="47" t="s">
        <v>150</v>
      </c>
      <c r="J42" s="48" t="s">
        <v>151</v>
      </c>
      <c r="K42" s="47">
        <v>19202</v>
      </c>
      <c r="L42" s="47" t="s">
        <v>152</v>
      </c>
      <c r="M42" s="48" t="s">
        <v>57</v>
      </c>
      <c r="N42" s="48"/>
      <c r="O42" s="49" t="s">
        <v>143</v>
      </c>
      <c r="P42" s="49" t="s">
        <v>144</v>
      </c>
    </row>
    <row r="43" spans="1:16" ht="12.75" customHeight="1" thickBot="1" x14ac:dyDescent="0.25">
      <c r="A43" s="14" t="str">
        <f t="shared" si="0"/>
        <v> BAVR 53,33 </v>
      </c>
      <c r="B43" s="5" t="str">
        <f t="shared" si="1"/>
        <v>I</v>
      </c>
      <c r="C43" s="14">
        <f t="shared" si="2"/>
        <v>49310.523000000001</v>
      </c>
      <c r="D43" s="32" t="str">
        <f t="shared" si="3"/>
        <v>vis</v>
      </c>
      <c r="E43" s="46">
        <f>VLOOKUP(C43,'Active 1'!C$21:E$973,3,FALSE)</f>
        <v>-521.01849044176879</v>
      </c>
      <c r="F43" s="5" t="s">
        <v>51</v>
      </c>
      <c r="G43" s="32" t="str">
        <f t="shared" si="4"/>
        <v>49310.523</v>
      </c>
      <c r="H43" s="14">
        <f t="shared" si="5"/>
        <v>19619</v>
      </c>
      <c r="I43" s="47" t="s">
        <v>153</v>
      </c>
      <c r="J43" s="48" t="s">
        <v>154</v>
      </c>
      <c r="K43" s="47">
        <v>19619</v>
      </c>
      <c r="L43" s="47" t="s">
        <v>155</v>
      </c>
      <c r="M43" s="48" t="s">
        <v>57</v>
      </c>
      <c r="N43" s="48"/>
      <c r="O43" s="49" t="s">
        <v>143</v>
      </c>
      <c r="P43" s="49" t="s">
        <v>144</v>
      </c>
    </row>
    <row r="44" spans="1:16" ht="12.75" customHeight="1" thickBot="1" x14ac:dyDescent="0.25">
      <c r="A44" s="14" t="str">
        <f t="shared" si="0"/>
        <v> BAVR 53,33 </v>
      </c>
      <c r="B44" s="5" t="str">
        <f t="shared" si="1"/>
        <v>I</v>
      </c>
      <c r="C44" s="14">
        <f t="shared" si="2"/>
        <v>49638.580999999998</v>
      </c>
      <c r="D44" s="32" t="str">
        <f t="shared" si="3"/>
        <v>vis</v>
      </c>
      <c r="E44" s="46">
        <f>VLOOKUP(C44,'Active 1'!C$21:E$973,3,FALSE)</f>
        <v>-467.53641192178713</v>
      </c>
      <c r="F44" s="5" t="s">
        <v>51</v>
      </c>
      <c r="G44" s="32" t="str">
        <f t="shared" si="4"/>
        <v>49638.581</v>
      </c>
      <c r="H44" s="14">
        <f t="shared" si="5"/>
        <v>19947</v>
      </c>
      <c r="I44" s="47" t="s">
        <v>156</v>
      </c>
      <c r="J44" s="48" t="s">
        <v>157</v>
      </c>
      <c r="K44" s="47">
        <v>19947</v>
      </c>
      <c r="L44" s="47" t="s">
        <v>158</v>
      </c>
      <c r="M44" s="48" t="s">
        <v>57</v>
      </c>
      <c r="N44" s="48"/>
      <c r="O44" s="49" t="s">
        <v>143</v>
      </c>
      <c r="P44" s="49" t="s">
        <v>144</v>
      </c>
    </row>
    <row r="45" spans="1:16" ht="12.75" customHeight="1" thickBot="1" x14ac:dyDescent="0.25">
      <c r="A45" s="14" t="str">
        <f t="shared" si="0"/>
        <v> BAVR 53,33 </v>
      </c>
      <c r="B45" s="5" t="str">
        <f t="shared" si="1"/>
        <v>I</v>
      </c>
      <c r="C45" s="14">
        <f t="shared" si="2"/>
        <v>49661.540999999997</v>
      </c>
      <c r="D45" s="32" t="str">
        <f t="shared" si="3"/>
        <v>vis</v>
      </c>
      <c r="E45" s="46">
        <f>VLOOKUP(C45,'Active 1'!C$21:E$973,3,FALSE)</f>
        <v>-463.7933283121244</v>
      </c>
      <c r="F45" s="5" t="s">
        <v>51</v>
      </c>
      <c r="G45" s="32" t="str">
        <f t="shared" si="4"/>
        <v>49661.541</v>
      </c>
      <c r="H45" s="14">
        <f t="shared" si="5"/>
        <v>19970</v>
      </c>
      <c r="I45" s="47" t="s">
        <v>159</v>
      </c>
      <c r="J45" s="48" t="s">
        <v>160</v>
      </c>
      <c r="K45" s="47">
        <v>19970</v>
      </c>
      <c r="L45" s="47" t="s">
        <v>161</v>
      </c>
      <c r="M45" s="48" t="s">
        <v>57</v>
      </c>
      <c r="N45" s="48"/>
      <c r="O45" s="49" t="s">
        <v>143</v>
      </c>
      <c r="P45" s="49" t="s">
        <v>144</v>
      </c>
    </row>
    <row r="46" spans="1:16" ht="12.75" customHeight="1" thickBot="1" x14ac:dyDescent="0.25">
      <c r="A46" s="14" t="str">
        <f t="shared" si="0"/>
        <v> BAVR 53,33 </v>
      </c>
      <c r="B46" s="5" t="str">
        <f t="shared" si="1"/>
        <v>I</v>
      </c>
      <c r="C46" s="14">
        <f t="shared" si="2"/>
        <v>49721.394999999997</v>
      </c>
      <c r="D46" s="32" t="str">
        <f t="shared" si="3"/>
        <v>vis</v>
      </c>
      <c r="E46" s="46">
        <f>VLOOKUP(C46,'Active 1'!C$21:E$973,3,FALSE)</f>
        <v>-454.03555277324108</v>
      </c>
      <c r="F46" s="5" t="s">
        <v>51</v>
      </c>
      <c r="G46" s="32" t="str">
        <f t="shared" si="4"/>
        <v>49721.395</v>
      </c>
      <c r="H46" s="14">
        <f t="shared" si="5"/>
        <v>20030</v>
      </c>
      <c r="I46" s="47" t="s">
        <v>162</v>
      </c>
      <c r="J46" s="48" t="s">
        <v>163</v>
      </c>
      <c r="K46" s="47">
        <v>20030</v>
      </c>
      <c r="L46" s="47" t="s">
        <v>164</v>
      </c>
      <c r="M46" s="48" t="s">
        <v>57</v>
      </c>
      <c r="N46" s="48"/>
      <c r="O46" s="49" t="s">
        <v>143</v>
      </c>
      <c r="P46" s="49" t="s">
        <v>144</v>
      </c>
    </row>
    <row r="47" spans="1:16" ht="12.75" customHeight="1" thickBot="1" x14ac:dyDescent="0.25">
      <c r="A47" s="14" t="str">
        <f t="shared" si="0"/>
        <v> BAVR 53,33 </v>
      </c>
      <c r="B47" s="5" t="str">
        <f t="shared" si="1"/>
        <v>I</v>
      </c>
      <c r="C47" s="14">
        <f t="shared" si="2"/>
        <v>50151.285000000003</v>
      </c>
      <c r="D47" s="32" t="str">
        <f t="shared" si="3"/>
        <v>vis</v>
      </c>
      <c r="E47" s="46">
        <f>VLOOKUP(C47,'Active 1'!C$21:E$973,3,FALSE)</f>
        <v>-383.95218112872863</v>
      </c>
      <c r="F47" s="5" t="s">
        <v>51</v>
      </c>
      <c r="G47" s="32" t="str">
        <f t="shared" si="4"/>
        <v>50151.285</v>
      </c>
      <c r="H47" s="14">
        <f t="shared" si="5"/>
        <v>20460</v>
      </c>
      <c r="I47" s="47" t="s">
        <v>165</v>
      </c>
      <c r="J47" s="48" t="s">
        <v>166</v>
      </c>
      <c r="K47" s="47">
        <v>20460</v>
      </c>
      <c r="L47" s="47" t="s">
        <v>133</v>
      </c>
      <c r="M47" s="48" t="s">
        <v>57</v>
      </c>
      <c r="N47" s="48"/>
      <c r="O47" s="49" t="s">
        <v>143</v>
      </c>
      <c r="P47" s="49" t="s">
        <v>144</v>
      </c>
    </row>
    <row r="48" spans="1:16" ht="12.75" customHeight="1" thickBot="1" x14ac:dyDescent="0.25">
      <c r="A48" s="14" t="str">
        <f t="shared" si="0"/>
        <v>BAVM R52 </v>
      </c>
      <c r="B48" s="5" t="str">
        <f t="shared" si="1"/>
        <v>I</v>
      </c>
      <c r="C48" s="14">
        <f t="shared" si="2"/>
        <v>52739.538</v>
      </c>
      <c r="D48" s="32" t="str">
        <f t="shared" si="3"/>
        <v>vis</v>
      </c>
      <c r="E48" s="46">
        <f>VLOOKUP(C48,'Active 1'!C$21:E$973,3,FALSE)</f>
        <v>38.001102057717524</v>
      </c>
      <c r="F48" s="5" t="s">
        <v>51</v>
      </c>
      <c r="G48" s="32" t="str">
        <f t="shared" si="4"/>
        <v>52739.538</v>
      </c>
      <c r="H48" s="14">
        <f t="shared" si="5"/>
        <v>23048</v>
      </c>
      <c r="I48" s="47" t="s">
        <v>167</v>
      </c>
      <c r="J48" s="48" t="s">
        <v>168</v>
      </c>
      <c r="K48" s="47">
        <v>23048</v>
      </c>
      <c r="L48" s="47" t="s">
        <v>169</v>
      </c>
      <c r="M48" s="48" t="s">
        <v>170</v>
      </c>
      <c r="N48" s="48"/>
      <c r="O48" s="49" t="s">
        <v>143</v>
      </c>
      <c r="P48" s="50" t="s">
        <v>171</v>
      </c>
    </row>
    <row r="49" spans="1:16" ht="12.75" customHeight="1" thickBot="1" x14ac:dyDescent="0.25">
      <c r="A49" s="14" t="str">
        <f t="shared" si="0"/>
        <v>BAVM R52 </v>
      </c>
      <c r="B49" s="5" t="str">
        <f t="shared" si="1"/>
        <v>I</v>
      </c>
      <c r="C49" s="14">
        <f t="shared" si="2"/>
        <v>52742.040999999997</v>
      </c>
      <c r="D49" s="32" t="str">
        <f t="shared" si="3"/>
        <v>vis</v>
      </c>
      <c r="E49" s="46">
        <f>VLOOKUP(C49,'Active 1'!C$21:E$973,3,FALSE)</f>
        <v>38.409156860634546</v>
      </c>
      <c r="F49" s="5" t="s">
        <v>51</v>
      </c>
      <c r="G49" s="32" t="str">
        <f t="shared" si="4"/>
        <v>52742.041</v>
      </c>
      <c r="H49" s="14">
        <f t="shared" si="5"/>
        <v>23051</v>
      </c>
      <c r="I49" s="47" t="s">
        <v>172</v>
      </c>
      <c r="J49" s="48" t="s">
        <v>173</v>
      </c>
      <c r="K49" s="47">
        <v>23051</v>
      </c>
      <c r="L49" s="47" t="s">
        <v>174</v>
      </c>
      <c r="M49" s="48" t="s">
        <v>170</v>
      </c>
      <c r="N49" s="48"/>
      <c r="O49" s="49" t="s">
        <v>143</v>
      </c>
      <c r="P49" s="50" t="s">
        <v>171</v>
      </c>
    </row>
    <row r="50" spans="1:16" ht="12.75" customHeight="1" thickBot="1" x14ac:dyDescent="0.25">
      <c r="A50" s="14" t="str">
        <f t="shared" si="0"/>
        <v>VSB 46 </v>
      </c>
      <c r="B50" s="5" t="str">
        <f t="shared" si="1"/>
        <v>I</v>
      </c>
      <c r="C50" s="14">
        <f t="shared" si="2"/>
        <v>54116.051500000001</v>
      </c>
      <c r="D50" s="32" t="str">
        <f t="shared" si="3"/>
        <v>vis</v>
      </c>
      <c r="E50" s="46">
        <f>VLOOKUP(C50,'Active 1'!C$21:E$973,3,FALSE)</f>
        <v>262.40899057381978</v>
      </c>
      <c r="F50" s="5" t="s">
        <v>51</v>
      </c>
      <c r="G50" s="32" t="str">
        <f t="shared" si="4"/>
        <v>54116.0515</v>
      </c>
      <c r="H50" s="14">
        <f t="shared" si="5"/>
        <v>24425</v>
      </c>
      <c r="I50" s="47" t="s">
        <v>175</v>
      </c>
      <c r="J50" s="48" t="s">
        <v>176</v>
      </c>
      <c r="K50" s="47">
        <v>24425</v>
      </c>
      <c r="L50" s="47" t="s">
        <v>177</v>
      </c>
      <c r="M50" s="48" t="s">
        <v>178</v>
      </c>
      <c r="N50" s="48" t="s">
        <v>179</v>
      </c>
      <c r="O50" s="49" t="s">
        <v>180</v>
      </c>
      <c r="P50" s="50" t="s">
        <v>181</v>
      </c>
    </row>
    <row r="51" spans="1:16" ht="12.75" customHeight="1" thickBot="1" x14ac:dyDescent="0.25">
      <c r="A51" s="14" t="str">
        <f t="shared" si="0"/>
        <v>VSB 46 </v>
      </c>
      <c r="B51" s="5" t="str">
        <f t="shared" si="1"/>
        <v>I</v>
      </c>
      <c r="C51" s="14">
        <f t="shared" si="2"/>
        <v>54138.082399999999</v>
      </c>
      <c r="D51" s="32" t="str">
        <f t="shared" si="3"/>
        <v>vis</v>
      </c>
      <c r="E51" s="46">
        <f>VLOOKUP(C51,'Active 1'!C$21:E$973,3,FALSE)</f>
        <v>266.00060645779689</v>
      </c>
      <c r="F51" s="5" t="s">
        <v>51</v>
      </c>
      <c r="G51" s="32" t="str">
        <f t="shared" si="4"/>
        <v>54138.0824</v>
      </c>
      <c r="H51" s="14">
        <f t="shared" si="5"/>
        <v>24447</v>
      </c>
      <c r="I51" s="47" t="s">
        <v>182</v>
      </c>
      <c r="J51" s="48" t="s">
        <v>183</v>
      </c>
      <c r="K51" s="47">
        <v>24447</v>
      </c>
      <c r="L51" s="47" t="s">
        <v>184</v>
      </c>
      <c r="M51" s="48" t="s">
        <v>178</v>
      </c>
      <c r="N51" s="48" t="s">
        <v>179</v>
      </c>
      <c r="O51" s="49" t="s">
        <v>180</v>
      </c>
      <c r="P51" s="50" t="s">
        <v>181</v>
      </c>
    </row>
    <row r="52" spans="1:16" ht="12.75" customHeight="1" thickBot="1" x14ac:dyDescent="0.25">
      <c r="A52" s="14" t="str">
        <f t="shared" si="0"/>
        <v>OEJV 0107 </v>
      </c>
      <c r="B52" s="5" t="str">
        <f t="shared" si="1"/>
        <v>I</v>
      </c>
      <c r="C52" s="14">
        <f t="shared" si="2"/>
        <v>54843.486100000002</v>
      </c>
      <c r="D52" s="32" t="str">
        <f t="shared" si="3"/>
        <v>vis</v>
      </c>
      <c r="E52" s="46">
        <f>VLOOKUP(C52,'Active 1'!C$21:E$973,3,FALSE)</f>
        <v>380.99995435263884</v>
      </c>
      <c r="F52" s="5" t="s">
        <v>51</v>
      </c>
      <c r="G52" s="32" t="str">
        <f t="shared" si="4"/>
        <v>54843.4861</v>
      </c>
      <c r="H52" s="14">
        <f t="shared" si="5"/>
        <v>25152</v>
      </c>
      <c r="I52" s="47" t="s">
        <v>191</v>
      </c>
      <c r="J52" s="48" t="s">
        <v>192</v>
      </c>
      <c r="K52" s="47" t="s">
        <v>193</v>
      </c>
      <c r="L52" s="47" t="s">
        <v>194</v>
      </c>
      <c r="M52" s="48" t="s">
        <v>178</v>
      </c>
      <c r="N52" s="48" t="s">
        <v>195</v>
      </c>
      <c r="O52" s="49" t="s">
        <v>196</v>
      </c>
      <c r="P52" s="50" t="s">
        <v>197</v>
      </c>
    </row>
    <row r="53" spans="1:16" ht="12.75" customHeight="1" thickBot="1" x14ac:dyDescent="0.25">
      <c r="A53" s="14" t="str">
        <f t="shared" si="0"/>
        <v>VSB 56 </v>
      </c>
      <c r="B53" s="5" t="str">
        <f t="shared" si="1"/>
        <v>II</v>
      </c>
      <c r="C53" s="14">
        <f t="shared" si="2"/>
        <v>56334.045299999998</v>
      </c>
      <c r="D53" s="32" t="str">
        <f t="shared" si="3"/>
        <v>vis</v>
      </c>
      <c r="E53" s="46">
        <f>VLOOKUP(C53,'Active 1'!C$21:E$973,3,FALSE)</f>
        <v>624.00029018679481</v>
      </c>
      <c r="F53" s="5" t="s">
        <v>51</v>
      </c>
      <c r="G53" s="32" t="str">
        <f t="shared" si="4"/>
        <v>56334.0453</v>
      </c>
      <c r="H53" s="14">
        <f t="shared" si="5"/>
        <v>26642.5</v>
      </c>
      <c r="I53" s="47" t="s">
        <v>198</v>
      </c>
      <c r="J53" s="48" t="s">
        <v>199</v>
      </c>
      <c r="K53" s="47" t="s">
        <v>200</v>
      </c>
      <c r="L53" s="47" t="s">
        <v>201</v>
      </c>
      <c r="M53" s="48" t="s">
        <v>178</v>
      </c>
      <c r="N53" s="48" t="s">
        <v>51</v>
      </c>
      <c r="O53" s="49" t="s">
        <v>202</v>
      </c>
      <c r="P53" s="50" t="s">
        <v>203</v>
      </c>
    </row>
    <row r="54" spans="1:16" ht="12.75" customHeight="1" thickBot="1" x14ac:dyDescent="0.25">
      <c r="A54" s="14" t="str">
        <f t="shared" si="0"/>
        <v>VSB 56 </v>
      </c>
      <c r="B54" s="5" t="str">
        <f t="shared" si="1"/>
        <v>II</v>
      </c>
      <c r="C54" s="14">
        <f t="shared" si="2"/>
        <v>56334.045700000002</v>
      </c>
      <c r="D54" s="32" t="str">
        <f t="shared" si="3"/>
        <v>vis</v>
      </c>
      <c r="E54" s="46">
        <f>VLOOKUP(C54,'Active 1'!C$21:E$973,3,FALSE)</f>
        <v>624.00035539731141</v>
      </c>
      <c r="F54" s="5" t="s">
        <v>51</v>
      </c>
      <c r="G54" s="32" t="str">
        <f t="shared" si="4"/>
        <v>56334.0457</v>
      </c>
      <c r="H54" s="14">
        <f t="shared" si="5"/>
        <v>26642.5</v>
      </c>
      <c r="I54" s="47" t="s">
        <v>204</v>
      </c>
      <c r="J54" s="48" t="s">
        <v>199</v>
      </c>
      <c r="K54" s="47" t="s">
        <v>200</v>
      </c>
      <c r="L54" s="47" t="s">
        <v>205</v>
      </c>
      <c r="M54" s="48" t="s">
        <v>178</v>
      </c>
      <c r="N54" s="48" t="s">
        <v>206</v>
      </c>
      <c r="O54" s="49" t="s">
        <v>202</v>
      </c>
      <c r="P54" s="50" t="s">
        <v>203</v>
      </c>
    </row>
    <row r="55" spans="1:16" ht="12.75" customHeight="1" thickBot="1" x14ac:dyDescent="0.25">
      <c r="A55" s="14" t="str">
        <f t="shared" si="0"/>
        <v>VSB 56 </v>
      </c>
      <c r="B55" s="5" t="str">
        <f t="shared" si="1"/>
        <v>II</v>
      </c>
      <c r="C55" s="14">
        <f t="shared" si="2"/>
        <v>56334.046000000002</v>
      </c>
      <c r="D55" s="32" t="str">
        <f t="shared" si="3"/>
        <v>vis</v>
      </c>
      <c r="E55" s="46">
        <f>VLOOKUP(C55,'Active 1'!C$21:E$973,3,FALSE)</f>
        <v>624.00040430519823</v>
      </c>
      <c r="F55" s="5" t="s">
        <v>51</v>
      </c>
      <c r="G55" s="32" t="str">
        <f t="shared" si="4"/>
        <v>56334.0460</v>
      </c>
      <c r="H55" s="14">
        <f t="shared" si="5"/>
        <v>26642.5</v>
      </c>
      <c r="I55" s="47" t="s">
        <v>207</v>
      </c>
      <c r="J55" s="48" t="s">
        <v>208</v>
      </c>
      <c r="K55" s="47" t="s">
        <v>200</v>
      </c>
      <c r="L55" s="47" t="s">
        <v>209</v>
      </c>
      <c r="M55" s="48" t="s">
        <v>178</v>
      </c>
      <c r="N55" s="48" t="s">
        <v>210</v>
      </c>
      <c r="O55" s="49" t="s">
        <v>202</v>
      </c>
      <c r="P55" s="50" t="s">
        <v>203</v>
      </c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</sheetData>
  <phoneticPr fontId="8" type="noConversion"/>
  <hyperlinks>
    <hyperlink ref="A3" r:id="rId1"/>
    <hyperlink ref="P48" r:id="rId2" display="http://www.bav-astro.de/sfs/BAVM_link.php?BAVMnr=R52"/>
    <hyperlink ref="P49" r:id="rId3" display="http://www.bav-astro.de/sfs/BAVM_link.php?BAVMnr=R52"/>
    <hyperlink ref="P50" r:id="rId4" display="http://vsolj.cetus-net.org/no46.pdf"/>
    <hyperlink ref="P51" r:id="rId5" display="http://vsolj.cetus-net.org/no46.pdf"/>
    <hyperlink ref="P11" r:id="rId6" display="http://www.bav-astro.de/sfs/BAVM_link.php?BAVMnr=186"/>
    <hyperlink ref="P52" r:id="rId7" display="http://var.astro.cz/oejv/issues/oejv0107.pdf"/>
    <hyperlink ref="P53" r:id="rId8" display="http://vsolj.cetus-net.org/vsoljno56.pdf"/>
    <hyperlink ref="P54" r:id="rId9" display="http://vsolj.cetus-net.org/vsoljno56.pdf"/>
    <hyperlink ref="P55" r:id="rId10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2024-02-25T04:06:11Z</dcterms:modified>
</cp:coreProperties>
</file>