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3D092AB-422B-463F-B351-8398F003BF6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E24" i="1"/>
  <c r="F24" i="1"/>
  <c r="G24" i="1"/>
  <c r="J24" i="1"/>
  <c r="C8" i="1"/>
  <c r="F11" i="1"/>
  <c r="G11" i="1"/>
  <c r="E14" i="1"/>
  <c r="E15" i="1" s="1"/>
  <c r="C21" i="1"/>
  <c r="E21" i="1"/>
  <c r="F21" i="1"/>
  <c r="E22" i="1"/>
  <c r="F22" i="1"/>
  <c r="G22" i="1"/>
  <c r="I22" i="1"/>
  <c r="Q22" i="1"/>
  <c r="E23" i="1"/>
  <c r="F23" i="1"/>
  <c r="G23" i="1"/>
  <c r="I23" i="1"/>
  <c r="Q23" i="1"/>
  <c r="Q24" i="1"/>
  <c r="E25" i="1"/>
  <c r="F25" i="1"/>
  <c r="G25" i="1"/>
  <c r="J25" i="1"/>
  <c r="Q25" i="1"/>
  <c r="E26" i="1"/>
  <c r="F26" i="1"/>
  <c r="G26" i="1"/>
  <c r="J26" i="1"/>
  <c r="Q26" i="1"/>
  <c r="E27" i="1"/>
  <c r="F27" i="1"/>
  <c r="G27" i="1"/>
  <c r="J27" i="1"/>
  <c r="Q27" i="1"/>
  <c r="E28" i="1"/>
  <c r="F28" i="1"/>
  <c r="G28" i="1"/>
  <c r="J28" i="1"/>
  <c r="Q28" i="1"/>
  <c r="E29" i="1"/>
  <c r="F29" i="1"/>
  <c r="G29" i="1"/>
  <c r="J29" i="1"/>
  <c r="Q29" i="1"/>
  <c r="E30" i="1"/>
  <c r="F30" i="1"/>
  <c r="G30" i="1"/>
  <c r="J30" i="1"/>
  <c r="Q30" i="1"/>
  <c r="Q21" i="1"/>
  <c r="C17" i="1"/>
  <c r="G21" i="1"/>
  <c r="H21" i="1"/>
  <c r="C11" i="1"/>
  <c r="C12" i="1"/>
  <c r="C16" i="1" l="1"/>
  <c r="D18" i="1" s="1"/>
  <c r="O26" i="1"/>
  <c r="O28" i="1"/>
  <c r="O30" i="1"/>
  <c r="O23" i="1"/>
  <c r="C15" i="1"/>
  <c r="O27" i="1"/>
  <c r="O25" i="1"/>
  <c r="O29" i="1"/>
  <c r="O24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<sst xmlns="http://schemas.openxmlformats.org/spreadsheetml/2006/main" count="64" uniqueCount="51">
  <si>
    <t>V0684 Mon / GSC 00750-01635</t>
  </si>
  <si>
    <t>System Type:</t>
  </si>
  <si>
    <t>EA</t>
  </si>
  <si>
    <t>Bradstreet 1986</t>
  </si>
  <si>
    <t>1986AJ.....91..590K</t>
  </si>
  <si>
    <t>--- Working ----</t>
  </si>
  <si>
    <t>Epoch =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</si>
  <si>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</si>
  <si>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</si>
  <si>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</si>
  <si>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</si>
  <si>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</si>
  <si>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</si>
  <si>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</si>
  <si>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</si>
  <si>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</si>
  <si>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Add cycle</t>
  </si>
  <si>
    <t>Sum diff² =</t>
  </si>
  <si>
    <t>JD today</t>
  </si>
  <si>
    <t>New epoch =</t>
  </si>
  <si>
    <t>Old Cycle</t>
  </si>
  <si>
    <t>New Period =</t>
  </si>
  <si>
    <t>New Cycle</t>
  </si>
  <si>
    <t># of data points:</t>
  </si>
  <si>
    <t>Next ToM</t>
  </si>
  <si>
    <t>New Ephemeris =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</si>
  <si>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</si>
  <si>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</si>
  <si>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</si>
  <si>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</si>
  <si>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</si>
  <si>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</si>
  <si>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</si>
  <si>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</si>
  <si>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GCVS 4</t>
  </si>
  <si>
    <t>??</t>
  </si>
  <si>
    <t>S3</t>
  </si>
  <si>
    <t>S4</t>
  </si>
  <si>
    <t>S5</t>
  </si>
  <si>
    <t>S6</t>
  </si>
  <si>
    <t>Lin Fit</t>
  </si>
  <si>
    <t>Q. Fit</t>
  </si>
  <si>
    <t>Date</t>
  </si>
  <si>
    <t xml:space="preserve">http://www.eastern.edu/academic/trad_undg/sas/depts/physsci/v684mon-Jan00.pdf </t>
  </si>
  <si>
    <t>OEJV 0160</t>
  </si>
  <si>
    <t>II</t>
  </si>
  <si>
    <t>IBVS 6114</t>
  </si>
  <si>
    <t>I</t>
  </si>
  <si>
    <t>OEJV 0205</t>
  </si>
  <si>
    <t>CCD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</si>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</sst>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_);&quot;($&quot;#,##0\)"/>
    <numFmt numFmtId="165" formatCode="m/d/yyyy\ h:mm"/>
    <numFmt numFmtId="166" formatCode="m/d/yyyy"/>
  </numFmts>
  <fonts count="11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ck">
        <color indexed="8"/>
      </left>
      <right style="thin">
        <color indexed="22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</borders>
  <cellStyleXfs count="6">
    <xf numFmtId="0" fontId="0" fillId="0" borderId="0">
      <alignment vertical="top"/>
    </xf>
    <xf numFmtId="3" fontId="10" fillId="0" borderId="0" applyFill="0" applyBorder="0" applyProtection="0">
      <alignment vertical="top"/>
    </xf>
    <xf numFmtId="164" fontId="10" fillId="0" borderId="0" applyFill="0" applyBorder="0" applyProtection="0">
      <alignment vertical="top"/>
    </xf>
    <xf numFmtId="0" fontId="10" fillId="0" borderId="0" applyFill="0" applyBorder="0" applyProtection="0">
      <alignment vertical="top"/>
    </xf>
    <xf numFmtId="2" fontId="10" fillId="0" borderId="0" applyFill="0" applyBorder="0" applyProtection="0">
      <alignment vertical="top"/>
    </xf>
    <xf numFmtId="0" fontId="10" fillId="0" borderId="0"/>
  </cellStyleXfs>
  <cellXfs count="31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3" fillId="0" borderId="0" xfId="0" applyFont="1">
      <alignment vertical="top"/>
    </xf>
    <xf numFmtId="0" fontId="4" fillId="0" borderId="0" xfId="0" applyFont="1">
      <alignment vertical="top"/>
    </xf>
    <xf numFmtId="0" fontId="0" fillId="0" borderId="3" xfId="0" applyFont="1" applyBorder="1" applyAlignment="1">
      <alignment horizontal="center"/>
    </xf>
    <xf numFmtId="0" fontId="5" fillId="0" borderId="0" xfId="0" applyFont="1">
      <alignment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/>
    <xf numFmtId="0" fontId="6" fillId="0" borderId="0" xfId="0" applyFo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165" fontId="5" fillId="0" borderId="0" xfId="0" applyNumberFormat="1" applyFont="1">
      <alignment vertical="top"/>
    </xf>
    <xf numFmtId="0" fontId="0" fillId="0" borderId="4" xfId="0" applyBorder="1" applyAlignment="1"/>
    <xf numFmtId="0" fontId="6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166" fontId="0" fillId="0" borderId="0" xfId="0" applyNumberFormat="1" applyAlignment="1"/>
    <xf numFmtId="0" fontId="7" fillId="0" borderId="0" xfId="0" applyFont="1">
      <alignment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0" xfId="5" applyFont="1" applyAlignment="1">
      <alignment horizontal="left"/>
    </xf>
  </cellXfs>
  <cellStyles count="6">
    <cellStyle name="Comma0" xfId="1"/>
    <cellStyle name="Currency0" xfId="2"/>
    <cellStyle name="Date" xfId="3"/>
    <cellStyle name="Fixed" xfId="4"/>
    <cellStyle name="Normal" xfId="0" builtinId="0"/>
    <cellStyle name="Normal_A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V0684 Mon - O-C Diagr.</a:t>
            </a:r>
          </a:p>
        </c:rich>
      </c:tx>
      <c:layout>
        <c:manualLayout>
          <c:xMode val="edge"/>
          <c:yMode val="edge"/>
          <c:x val="0.34690553745928338"/>
          <c:y val="4.402515723270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83713355048861"/>
          <c:y val="0.24528377212243305"/>
          <c:w val="0.80456026058631924"/>
          <c:h val="0.5314481729319382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Active!$F$21:$F$30</c:f>
              <c:numCache>
                <c:formatCode>General</c:formatCode>
                <c:ptCount val="10"/>
                <c:pt idx="0">
                  <c:v>0</c:v>
                </c:pt>
                <c:pt idx="1">
                  <c:v>3728.5</c:v>
                </c:pt>
                <c:pt idx="2">
                  <c:v>6281</c:v>
                </c:pt>
                <c:pt idx="3">
                  <c:v>6294</c:v>
                </c:pt>
                <c:pt idx="4">
                  <c:v>6295.5</c:v>
                </c:pt>
                <c:pt idx="5">
                  <c:v>6490</c:v>
                </c:pt>
                <c:pt idx="6">
                  <c:v>6490.5</c:v>
                </c:pt>
                <c:pt idx="7">
                  <c:v>6531</c:v>
                </c:pt>
                <c:pt idx="8">
                  <c:v>7119.5</c:v>
                </c:pt>
                <c:pt idx="9">
                  <c:v>7468.5</c:v>
                </c:pt>
              </c:numCache>
            </c:numRef>
          </c:xVal>
          <c:yVal>
            <c:numRef>
              <c:f>Active!$H$21:$H$30</c:f>
              <c:numCache>
                <c:formatCode>General</c:formatCode>
                <c:ptCount val="1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70-4756-B640-57527FA6DE3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Active!$F$21:$F$30</c:f>
              <c:numCache>
                <c:formatCode>General</c:formatCode>
                <c:ptCount val="10"/>
                <c:pt idx="0">
                  <c:v>0</c:v>
                </c:pt>
                <c:pt idx="1">
                  <c:v>3728.5</c:v>
                </c:pt>
                <c:pt idx="2">
                  <c:v>6281</c:v>
                </c:pt>
                <c:pt idx="3">
                  <c:v>6294</c:v>
                </c:pt>
                <c:pt idx="4">
                  <c:v>6295.5</c:v>
                </c:pt>
                <c:pt idx="5">
                  <c:v>6490</c:v>
                </c:pt>
                <c:pt idx="6">
                  <c:v>6490.5</c:v>
                </c:pt>
                <c:pt idx="7">
                  <c:v>6531</c:v>
                </c:pt>
                <c:pt idx="8">
                  <c:v>7119.5</c:v>
                </c:pt>
                <c:pt idx="9">
                  <c:v>7468.5</c:v>
                </c:pt>
              </c:numCache>
            </c:numRef>
          </c:xVal>
          <c:yVal>
            <c:numRef>
              <c:f>Active!$I$21:$I$30</c:f>
              <c:numCache>
                <c:formatCode>General</c:formatCode>
                <c:ptCount val="10"/>
                <c:pt idx="1">
                  <c:v>0.15922699999646284</c:v>
                </c:pt>
                <c:pt idx="2">
                  <c:v>0.24118199999793433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70-4756-B640-57527FA6DE3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Active!$F$21:$F$30</c:f>
              <c:numCache>
                <c:formatCode>General</c:formatCode>
                <c:ptCount val="10"/>
                <c:pt idx="0">
                  <c:v>0</c:v>
                </c:pt>
                <c:pt idx="1">
                  <c:v>3728.5</c:v>
                </c:pt>
                <c:pt idx="2">
                  <c:v>6281</c:v>
                </c:pt>
                <c:pt idx="3">
                  <c:v>6294</c:v>
                </c:pt>
                <c:pt idx="4">
                  <c:v>6295.5</c:v>
                </c:pt>
                <c:pt idx="5">
                  <c:v>6490</c:v>
                </c:pt>
                <c:pt idx="6">
                  <c:v>6490.5</c:v>
                </c:pt>
                <c:pt idx="7">
                  <c:v>6531</c:v>
                </c:pt>
                <c:pt idx="8">
                  <c:v>7119.5</c:v>
                </c:pt>
                <c:pt idx="9">
                  <c:v>7468.5</c:v>
                </c:pt>
              </c:numCache>
            </c:numRef>
          </c:xVal>
          <c:yVal>
            <c:numRef>
              <c:f>Active!$J$21:$J$30</c:f>
              <c:numCache>
                <c:formatCode>General</c:formatCode>
                <c:ptCount val="10"/>
                <c:pt idx="3">
                  <c:v>0.24370800000178861</c:v>
                </c:pt>
                <c:pt idx="4">
                  <c:v>0.26806099999521393</c:v>
                </c:pt>
                <c:pt idx="5">
                  <c:v>0.25535999999556225</c:v>
                </c:pt>
                <c:pt idx="6">
                  <c:v>0.28312100000039209</c:v>
                </c:pt>
                <c:pt idx="7">
                  <c:v>0.25826200000301469</c:v>
                </c:pt>
                <c:pt idx="8">
                  <c:v>0.30376899999100715</c:v>
                </c:pt>
                <c:pt idx="9">
                  <c:v>0.32522700000117766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70-4756-B640-57527FA6DE3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Active!$F$21:$F$30</c:f>
              <c:numCache>
                <c:formatCode>General</c:formatCode>
                <c:ptCount val="10"/>
                <c:pt idx="0">
                  <c:v>0</c:v>
                </c:pt>
                <c:pt idx="1">
                  <c:v>3728.5</c:v>
                </c:pt>
                <c:pt idx="2">
                  <c:v>6281</c:v>
                </c:pt>
                <c:pt idx="3">
                  <c:v>6294</c:v>
                </c:pt>
                <c:pt idx="4">
                  <c:v>6295.5</c:v>
                </c:pt>
                <c:pt idx="5">
                  <c:v>6490</c:v>
                </c:pt>
                <c:pt idx="6">
                  <c:v>6490.5</c:v>
                </c:pt>
                <c:pt idx="7">
                  <c:v>6531</c:v>
                </c:pt>
                <c:pt idx="8">
                  <c:v>7119.5</c:v>
                </c:pt>
                <c:pt idx="9">
                  <c:v>7468.5</c:v>
                </c:pt>
              </c:numCache>
            </c:numRef>
          </c:xVal>
          <c:yVal>
            <c:numRef>
              <c:f>Active!$K$21:$K$30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70-4756-B640-57527FA6DE3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Active!$F$21:$F$30</c:f>
              <c:numCache>
                <c:formatCode>General</c:formatCode>
                <c:ptCount val="10"/>
                <c:pt idx="0">
                  <c:v>0</c:v>
                </c:pt>
                <c:pt idx="1">
                  <c:v>3728.5</c:v>
                </c:pt>
                <c:pt idx="2">
                  <c:v>6281</c:v>
                </c:pt>
                <c:pt idx="3">
                  <c:v>6294</c:v>
                </c:pt>
                <c:pt idx="4">
                  <c:v>6295.5</c:v>
                </c:pt>
                <c:pt idx="5">
                  <c:v>6490</c:v>
                </c:pt>
                <c:pt idx="6">
                  <c:v>6490.5</c:v>
                </c:pt>
                <c:pt idx="7">
                  <c:v>6531</c:v>
                </c:pt>
                <c:pt idx="8">
                  <c:v>7119.5</c:v>
                </c:pt>
                <c:pt idx="9">
                  <c:v>7468.5</c:v>
                </c:pt>
              </c:numCache>
            </c:numRef>
          </c:xVal>
          <c:yVal>
            <c:numRef>
              <c:f>Active!$L$21:$L$30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770-4756-B640-57527FA6DE3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Active!$F$21:$F$30</c:f>
              <c:numCache>
                <c:formatCode>General</c:formatCode>
                <c:ptCount val="10"/>
                <c:pt idx="0">
                  <c:v>0</c:v>
                </c:pt>
                <c:pt idx="1">
                  <c:v>3728.5</c:v>
                </c:pt>
                <c:pt idx="2">
                  <c:v>6281</c:v>
                </c:pt>
                <c:pt idx="3">
                  <c:v>6294</c:v>
                </c:pt>
                <c:pt idx="4">
                  <c:v>6295.5</c:v>
                </c:pt>
                <c:pt idx="5">
                  <c:v>6490</c:v>
                </c:pt>
                <c:pt idx="6">
                  <c:v>6490.5</c:v>
                </c:pt>
                <c:pt idx="7">
                  <c:v>6531</c:v>
                </c:pt>
                <c:pt idx="8">
                  <c:v>7119.5</c:v>
                </c:pt>
                <c:pt idx="9">
                  <c:v>7468.5</c:v>
                </c:pt>
              </c:numCache>
            </c:numRef>
          </c:xVal>
          <c:yVal>
            <c:numRef>
              <c:f>Active!$M$21:$M$30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770-4756-B640-57527FA6DE3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Active!$F$21:$F$30</c:f>
              <c:numCache>
                <c:formatCode>General</c:formatCode>
                <c:ptCount val="10"/>
                <c:pt idx="0">
                  <c:v>0</c:v>
                </c:pt>
                <c:pt idx="1">
                  <c:v>3728.5</c:v>
                </c:pt>
                <c:pt idx="2">
                  <c:v>6281</c:v>
                </c:pt>
                <c:pt idx="3">
                  <c:v>6294</c:v>
                </c:pt>
                <c:pt idx="4">
                  <c:v>6295.5</c:v>
                </c:pt>
                <c:pt idx="5">
                  <c:v>6490</c:v>
                </c:pt>
                <c:pt idx="6">
                  <c:v>6490.5</c:v>
                </c:pt>
                <c:pt idx="7">
                  <c:v>6531</c:v>
                </c:pt>
                <c:pt idx="8">
                  <c:v>7119.5</c:v>
                </c:pt>
                <c:pt idx="9">
                  <c:v>7468.5</c:v>
                </c:pt>
              </c:numCache>
            </c:numRef>
          </c:xVal>
          <c:yVal>
            <c:numRef>
              <c:f>Active!$N$21:$N$30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770-4756-B640-57527FA6DE3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Active!$F$21:$F$30</c:f>
              <c:numCache>
                <c:formatCode>General</c:formatCode>
                <c:ptCount val="10"/>
                <c:pt idx="0">
                  <c:v>0</c:v>
                </c:pt>
                <c:pt idx="1">
                  <c:v>3728.5</c:v>
                </c:pt>
                <c:pt idx="2">
                  <c:v>6281</c:v>
                </c:pt>
                <c:pt idx="3">
                  <c:v>6294</c:v>
                </c:pt>
                <c:pt idx="4">
                  <c:v>6295.5</c:v>
                </c:pt>
                <c:pt idx="5">
                  <c:v>6490</c:v>
                </c:pt>
                <c:pt idx="6">
                  <c:v>6490.5</c:v>
                </c:pt>
                <c:pt idx="7">
                  <c:v>6531</c:v>
                </c:pt>
                <c:pt idx="8">
                  <c:v>7119.5</c:v>
                </c:pt>
                <c:pt idx="9">
                  <c:v>7468.5</c:v>
                </c:pt>
              </c:numCache>
            </c:numRef>
          </c:xVal>
          <c:yVal>
            <c:numRef>
              <c:f>Active!$O$21:$O$30</c:f>
              <c:numCache>
                <c:formatCode>General</c:formatCode>
                <c:ptCount val="10"/>
                <c:pt idx="0">
                  <c:v>-1.6442232917461275E-3</c:v>
                </c:pt>
                <c:pt idx="1">
                  <c:v>0.15317871558437413</c:v>
                </c:pt>
                <c:pt idx="2">
                  <c:v>0.25916920813668659</c:v>
                </c:pt>
                <c:pt idx="3">
                  <c:v>0.25970902259434775</c:v>
                </c:pt>
                <c:pt idx="4">
                  <c:v>0.25977130887792399</c:v>
                </c:pt>
                <c:pt idx="5">
                  <c:v>0.2678477636483157</c:v>
                </c:pt>
                <c:pt idx="6">
                  <c:v>0.26786852574284115</c:v>
                </c:pt>
                <c:pt idx="7">
                  <c:v>0.26955025539940086</c:v>
                </c:pt>
                <c:pt idx="8">
                  <c:v>0.29398724065583015</c:v>
                </c:pt>
                <c:pt idx="9">
                  <c:v>0.30847918263457924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770-4756-B640-57527FA6D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835952"/>
        <c:axId val="1"/>
      </c:scatterChart>
      <c:valAx>
        <c:axId val="738835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8013029315961"/>
              <c:y val="0.86163786130507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631921824104233E-2"/>
              <c:y val="0.415095660212284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88359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938110749185667"/>
          <c:y val="0.89622905627362615"/>
          <c:w val="0.71498371335504884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0</xdr:row>
      <xdr:rowOff>0</xdr:rowOff>
    </xdr:from>
    <xdr:to>
      <xdr:col>16</xdr:col>
      <xdr:colOff>95250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761C013-92EA-6569-4871-15D000CE21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3" sqref="E3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2" t="s">
        <v>0</v>
      </c>
    </row>
    <row r="2" spans="1:7" x14ac:dyDescent="0.2">
      <c r="A2" s="1" t="s">
        <v>1</v>
      </c>
      <c r="B2" s="1" t="s">
        <v>2</v>
      </c>
    </row>
    <row r="4" spans="1:7" x14ac:dyDescent="0.2">
      <c r="A4" s="3" t="s">
        <v>3</v>
      </c>
      <c r="C4" s="4">
        <v>44617.808100000002</v>
      </c>
      <c r="D4" s="5">
        <v>1.851378</v>
      </c>
    </row>
    <row r="5" spans="1:7" x14ac:dyDescent="0.2">
      <c r="A5" s="1" t="s">
        <v>4</v>
      </c>
    </row>
    <row r="6" spans="1:7" x14ac:dyDescent="0.2">
      <c r="A6" s="3" t="s">
        <v>5</v>
      </c>
    </row>
    <row r="7" spans="1:7" x14ac:dyDescent="0.2">
      <c r="A7" s="1" t="s">
        <v>6</v>
      </c>
      <c r="C7" s="1">
        <f>+C4</f>
        <v>44617.808100000002</v>
      </c>
      <c r="D7" s="1">
        <v>1.851378</v>
      </c>
    </row>
    <row r="8" spans="1:7" x14ac:dyDescent="0.2">
      <c r="A8" s="1" t="s">
        <v>7</v>
      </c>
      <c r="C8" s="1">
        <f>+D4</f>
        <v>1.851378</v>
      </c>
    </row>
    <row r="9" spans="1:7" x14ac:dyDescent="0.2">
      <c r="A9" s="6" t="s">
        <v>8</v>
      </c>
      <c r="B9"/>
      <c r="C9" s="7">
        <v>-9.5</v>
      </c>
      <c r="D9" t="s">
        <v>9</v>
      </c>
    </row>
    <row r="10" spans="1:7" x14ac:dyDescent="0.2">
      <c r="C10" s="8" t="s">
        <v>10</v>
      </c>
      <c r="D10" s="8" t="s">
        <v>11</v>
      </c>
    </row>
    <row r="11" spans="1:7" x14ac:dyDescent="0.2">
      <c r="A11" s="1" t="s">
        <v>12</v>
      </c>
      <c r="C11" s="9">
        <f ca="1">INTERCEPT(INDIRECT($G$11):G992,INDIRECT($F$11):F992)</f>
        <v>-1.6442232917461275E-3</v>
      </c>
      <c r="D11" s="10"/>
      <c r="F11" s="11" t="str">
        <f>"F"&amp;E19</f>
        <v>F21</v>
      </c>
      <c r="G11" s="12" t="str">
        <f>"G"&amp;E19</f>
        <v>G21</v>
      </c>
    </row>
    <row r="12" spans="1:7" x14ac:dyDescent="0.2">
      <c r="A12" s="1" t="s">
        <v>13</v>
      </c>
      <c r="C12" s="9">
        <f ca="1">SLOPE(INDIRECT($G$11):G992,INDIRECT($F$11):F992)</f>
        <v>4.1524189050856984E-5</v>
      </c>
      <c r="D12" s="10"/>
    </row>
    <row r="13" spans="1:7" x14ac:dyDescent="0.2">
      <c r="A13" s="1" t="s">
        <v>14</v>
      </c>
      <c r="C13" s="10" t="s">
        <v>15</v>
      </c>
      <c r="D13" s="13" t="s">
        <v>16</v>
      </c>
      <c r="E13" s="7">
        <v>1</v>
      </c>
    </row>
    <row r="14" spans="1:7" x14ac:dyDescent="0.2">
      <c r="A14" s="1" t="s">
        <v>17</v>
      </c>
      <c r="D14" s="13" t="s">
        <v>18</v>
      </c>
      <c r="E14" s="9">
        <f ca="1">NOW()+15018.5+$C$9/24</f>
        <v>60365.721001851853</v>
      </c>
    </row>
    <row r="15" spans="1:7" x14ac:dyDescent="0.2">
      <c r="A15" s="3" t="s">
        <v>19</v>
      </c>
      <c r="C15" s="14">
        <f ca="1">(C7+C11)+(C8+C12)*INT(MAX(F21:F3533))</f>
        <v>58444.207462420542</v>
      </c>
      <c r="D15" s="13" t="s">
        <v>20</v>
      </c>
      <c r="E15" s="9">
        <f ca="1">ROUND(2*(E14-$C$7)/$C$8,0)/2+E13</f>
        <v>8507</v>
      </c>
    </row>
    <row r="16" spans="1:7" x14ac:dyDescent="0.2">
      <c r="A16" s="3" t="s">
        <v>21</v>
      </c>
      <c r="C16" s="14">
        <f ca="1">+C8+C12</f>
        <v>1.8514195241890508</v>
      </c>
      <c r="D16" s="13" t="s">
        <v>22</v>
      </c>
      <c r="E16" s="12">
        <f ca="1">ROUND(2*(E14-$C$15)/$C$16,0)/2+E13</f>
        <v>1039</v>
      </c>
    </row>
    <row r="17" spans="1:18" x14ac:dyDescent="0.2">
      <c r="A17" s="15" t="s">
        <v>23</v>
      </c>
      <c r="C17" s="1">
        <f>COUNT(C21:C2191)</f>
        <v>10</v>
      </c>
      <c r="D17" s="13" t="s">
        <v>24</v>
      </c>
      <c r="E17" s="16">
        <f ca="1">+$C$15+$C$16*E16-15018.5-$C$9/24</f>
        <v>45349.728181386301</v>
      </c>
    </row>
    <row r="18" spans="1:18" x14ac:dyDescent="0.2">
      <c r="A18" s="3" t="s">
        <v>25</v>
      </c>
      <c r="C18" s="17">
        <f ca="1">+C15</f>
        <v>58444.207462420542</v>
      </c>
      <c r="D18" s="5">
        <f ca="1">+C16</f>
        <v>1.8514195241890508</v>
      </c>
    </row>
    <row r="19" spans="1:18" x14ac:dyDescent="0.2">
      <c r="A19" s="18" t="s">
        <v>26</v>
      </c>
      <c r="E19" s="19">
        <v>21</v>
      </c>
    </row>
    <row r="20" spans="1:18" x14ac:dyDescent="0.2">
      <c r="A20" s="8" t="s">
        <v>27</v>
      </c>
      <c r="B20" s="8" t="s">
        <v>28</v>
      </c>
      <c r="C20" s="8" t="s">
        <v>29</v>
      </c>
      <c r="D20" s="8" t="s">
        <v>30</v>
      </c>
      <c r="E20" s="8" t="s">
        <v>31</v>
      </c>
      <c r="F20" s="8" t="s">
        <v>32</v>
      </c>
      <c r="G20" s="8" t="s">
        <v>33</v>
      </c>
      <c r="H20" s="20" t="s">
        <v>34</v>
      </c>
      <c r="I20" s="20" t="s">
        <v>50</v>
      </c>
      <c r="J20" s="20" t="s">
        <v>49</v>
      </c>
      <c r="K20" s="20" t="s">
        <v>36</v>
      </c>
      <c r="L20" s="20" t="s">
        <v>37</v>
      </c>
      <c r="M20" s="20" t="s">
        <v>38</v>
      </c>
      <c r="N20" s="20" t="s">
        <v>39</v>
      </c>
      <c r="O20" s="20" t="s">
        <v>40</v>
      </c>
      <c r="P20" s="20" t="s">
        <v>41</v>
      </c>
      <c r="Q20" s="8" t="s">
        <v>42</v>
      </c>
    </row>
    <row r="21" spans="1:18" x14ac:dyDescent="0.2">
      <c r="A21" s="3" t="s">
        <v>3</v>
      </c>
      <c r="C21" s="21">
        <f>+C4</f>
        <v>44617.808100000002</v>
      </c>
      <c r="D21" s="21" t="s">
        <v>15</v>
      </c>
      <c r="E21" s="1">
        <f t="shared" ref="E21:E28" si="0">+(C21-C$7)/C$8</f>
        <v>0</v>
      </c>
      <c r="F21" s="1">
        <f t="shared" ref="F21:F30" si="1">ROUND(2*E21,0)/2</f>
        <v>0</v>
      </c>
      <c r="G21" s="1">
        <f t="shared" ref="G21:G28" si="2">+C21-(C$7+F21*C$8)</f>
        <v>0</v>
      </c>
      <c r="H21" s="1">
        <f>+G21</f>
        <v>0</v>
      </c>
      <c r="O21" s="1">
        <f t="shared" ref="O21:O28" ca="1" si="3">+C$11+C$12*F21</f>
        <v>-1.6442232917461275E-3</v>
      </c>
      <c r="Q21" s="22">
        <f t="shared" ref="Q21:Q28" si="4">+C21-15018.5</f>
        <v>29599.308100000002</v>
      </c>
    </row>
    <row r="22" spans="1:18" x14ac:dyDescent="0.2">
      <c r="A22" s="3" t="s">
        <v>35</v>
      </c>
      <c r="C22" s="21">
        <v>51520.830199999997</v>
      </c>
      <c r="D22" s="21"/>
      <c r="E22" s="1">
        <f t="shared" si="0"/>
        <v>3728.5860045868508</v>
      </c>
      <c r="F22" s="1">
        <f t="shared" si="1"/>
        <v>3728.5</v>
      </c>
      <c r="G22" s="1">
        <f t="shared" si="2"/>
        <v>0.15922699999646284</v>
      </c>
      <c r="I22" s="1">
        <f>G22</f>
        <v>0.15922699999646284</v>
      </c>
      <c r="O22" s="1">
        <f t="shared" ca="1" si="3"/>
        <v>0.15317871558437413</v>
      </c>
      <c r="Q22" s="22">
        <f t="shared" si="4"/>
        <v>36502.330199999997</v>
      </c>
      <c r="R22" s="1" t="s">
        <v>43</v>
      </c>
    </row>
    <row r="23" spans="1:18" x14ac:dyDescent="0.2">
      <c r="A23" s="23" t="s">
        <v>44</v>
      </c>
      <c r="B23" s="24" t="s">
        <v>45</v>
      </c>
      <c r="C23" s="25">
        <v>56246.554499999998</v>
      </c>
      <c r="D23" s="25">
        <v>1E-3</v>
      </c>
      <c r="E23" s="1">
        <f t="shared" si="0"/>
        <v>6281.1302716138989</v>
      </c>
      <c r="F23" s="1">
        <f t="shared" si="1"/>
        <v>6281</v>
      </c>
      <c r="G23" s="1">
        <f t="shared" si="2"/>
        <v>0.24118199999793433</v>
      </c>
      <c r="I23" s="1">
        <f>G23</f>
        <v>0.24118199999793433</v>
      </c>
      <c r="O23" s="1">
        <f t="shared" ca="1" si="3"/>
        <v>0.25916920813668659</v>
      </c>
      <c r="Q23" s="22">
        <f t="shared" si="4"/>
        <v>41228.054499999998</v>
      </c>
    </row>
    <row r="24" spans="1:18" x14ac:dyDescent="0.2">
      <c r="A24" s="26" t="s">
        <v>46</v>
      </c>
      <c r="B24" s="27" t="s">
        <v>45</v>
      </c>
      <c r="C24" s="26">
        <v>56270.624940000002</v>
      </c>
      <c r="D24" s="26">
        <v>4.6999999999999999E-4</v>
      </c>
      <c r="E24" s="1">
        <f t="shared" si="0"/>
        <v>6294.1316360030205</v>
      </c>
      <c r="F24" s="1">
        <f t="shared" si="1"/>
        <v>6294</v>
      </c>
      <c r="G24" s="1">
        <f t="shared" si="2"/>
        <v>0.24370800000178861</v>
      </c>
      <c r="J24" s="1">
        <f t="shared" ref="J24:J30" si="5">G24</f>
        <v>0.24370800000178861</v>
      </c>
      <c r="O24" s="1">
        <f t="shared" ca="1" si="3"/>
        <v>0.25970902259434775</v>
      </c>
      <c r="Q24" s="22">
        <f t="shared" si="4"/>
        <v>41252.124940000002</v>
      </c>
    </row>
    <row r="25" spans="1:18" x14ac:dyDescent="0.2">
      <c r="A25" s="26" t="s">
        <v>46</v>
      </c>
      <c r="B25" s="27" t="s">
        <v>47</v>
      </c>
      <c r="C25" s="26">
        <v>56273.426359999998</v>
      </c>
      <c r="D25" s="26">
        <v>1.0399999999999999E-3</v>
      </c>
      <c r="E25" s="1">
        <f t="shared" si="0"/>
        <v>6295.6447899888599</v>
      </c>
      <c r="F25" s="1">
        <f t="shared" si="1"/>
        <v>6295.5</v>
      </c>
      <c r="G25" s="1">
        <f t="shared" si="2"/>
        <v>0.26806099999521393</v>
      </c>
      <c r="J25" s="1">
        <f t="shared" si="5"/>
        <v>0.26806099999521393</v>
      </c>
      <c r="O25" s="1">
        <f t="shared" ca="1" si="3"/>
        <v>0.25977130887792399</v>
      </c>
      <c r="Q25" s="22">
        <f t="shared" si="4"/>
        <v>41254.926359999998</v>
      </c>
    </row>
    <row r="26" spans="1:18" x14ac:dyDescent="0.2">
      <c r="A26" s="26" t="s">
        <v>46</v>
      </c>
      <c r="B26" s="27" t="s">
        <v>45</v>
      </c>
      <c r="C26" s="26">
        <v>56633.506679999999</v>
      </c>
      <c r="D26" s="26">
        <v>5.6999999999999998E-4</v>
      </c>
      <c r="E26" s="1">
        <f t="shared" si="0"/>
        <v>6490.1379296934483</v>
      </c>
      <c r="F26" s="1">
        <f t="shared" si="1"/>
        <v>6490</v>
      </c>
      <c r="G26" s="1">
        <f t="shared" si="2"/>
        <v>0.25535999999556225</v>
      </c>
      <c r="J26" s="1">
        <f t="shared" si="5"/>
        <v>0.25535999999556225</v>
      </c>
      <c r="O26" s="1">
        <f t="shared" ca="1" si="3"/>
        <v>0.2678477636483157</v>
      </c>
      <c r="Q26" s="22">
        <f t="shared" si="4"/>
        <v>41615.006679999999</v>
      </c>
    </row>
    <row r="27" spans="1:18" x14ac:dyDescent="0.2">
      <c r="A27" s="26" t="s">
        <v>46</v>
      </c>
      <c r="B27" s="27" t="s">
        <v>47</v>
      </c>
      <c r="C27" s="26">
        <v>56634.460129999999</v>
      </c>
      <c r="D27" s="26">
        <v>1.17E-3</v>
      </c>
      <c r="E27" s="1">
        <f t="shared" si="0"/>
        <v>6490.6529244703124</v>
      </c>
      <c r="F27" s="1">
        <f t="shared" si="1"/>
        <v>6490.5</v>
      </c>
      <c r="G27" s="1">
        <f t="shared" si="2"/>
        <v>0.28312100000039209</v>
      </c>
      <c r="J27" s="1">
        <f t="shared" si="5"/>
        <v>0.28312100000039209</v>
      </c>
      <c r="O27" s="1">
        <f t="shared" ca="1" si="3"/>
        <v>0.26786852574284115</v>
      </c>
      <c r="Q27" s="22">
        <f t="shared" si="4"/>
        <v>41615.960129999999</v>
      </c>
    </row>
    <row r="28" spans="1:18" x14ac:dyDescent="0.2">
      <c r="A28" s="26" t="s">
        <v>46</v>
      </c>
      <c r="B28" s="27" t="s">
        <v>45</v>
      </c>
      <c r="C28" s="26">
        <v>56709.416080000003</v>
      </c>
      <c r="D28" s="26">
        <v>5.1999999999999995E-4</v>
      </c>
      <c r="E28" s="1">
        <f t="shared" si="0"/>
        <v>6531.1394971745376</v>
      </c>
      <c r="F28" s="1">
        <f t="shared" si="1"/>
        <v>6531</v>
      </c>
      <c r="G28" s="1">
        <f t="shared" si="2"/>
        <v>0.25826200000301469</v>
      </c>
      <c r="J28" s="1">
        <f t="shared" si="5"/>
        <v>0.25826200000301469</v>
      </c>
      <c r="O28" s="1">
        <f t="shared" ca="1" si="3"/>
        <v>0.26955025539940086</v>
      </c>
      <c r="Q28" s="22">
        <f t="shared" si="4"/>
        <v>41690.916080000003</v>
      </c>
    </row>
    <row r="29" spans="1:18" x14ac:dyDescent="0.2">
      <c r="A29" s="28" t="s">
        <v>48</v>
      </c>
      <c r="B29" s="29" t="s">
        <v>47</v>
      </c>
      <c r="C29" s="30">
        <v>57798.997539999997</v>
      </c>
      <c r="D29" s="30">
        <v>1.2700000000000001E-3</v>
      </c>
      <c r="E29" s="1">
        <f>+(C29-C$7)/C$8</f>
        <v>7119.6640772440824</v>
      </c>
      <c r="F29" s="1">
        <f t="shared" si="1"/>
        <v>7119.5</v>
      </c>
      <c r="G29" s="1">
        <f>+C29-(C$7+F29*C$8)</f>
        <v>0.30376899999100715</v>
      </c>
      <c r="J29" s="1">
        <f t="shared" si="5"/>
        <v>0.30376899999100715</v>
      </c>
      <c r="O29" s="1">
        <f ca="1">+C$11+C$12*F29</f>
        <v>0.29398724065583015</v>
      </c>
      <c r="Q29" s="22">
        <f>+C29-15018.5</f>
        <v>42780.497539999997</v>
      </c>
    </row>
    <row r="30" spans="1:18" x14ac:dyDescent="0.2">
      <c r="A30" s="28" t="s">
        <v>48</v>
      </c>
      <c r="B30" s="29" t="s">
        <v>47</v>
      </c>
      <c r="C30" s="30">
        <v>58445.149920000003</v>
      </c>
      <c r="D30" s="30">
        <v>3.47E-3</v>
      </c>
      <c r="E30" s="1">
        <f>+(C30-C$7)/C$8</f>
        <v>7468.6756675298084</v>
      </c>
      <c r="F30" s="1">
        <f t="shared" si="1"/>
        <v>7468.5</v>
      </c>
      <c r="G30" s="1">
        <f>+C30-(C$7+F30*C$8)</f>
        <v>0.32522700000117766</v>
      </c>
      <c r="J30" s="1">
        <f t="shared" si="5"/>
        <v>0.32522700000117766</v>
      </c>
      <c r="O30" s="1">
        <f ca="1">+C$11+C$12*F30</f>
        <v>0.30847918263457924</v>
      </c>
      <c r="Q30" s="22">
        <f>+C30-15018.5</f>
        <v>43426.649920000003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2024-02-25T04:18:14Z</dcterms:created>
  <dcterms:modified xsi:type="dcterms:W3CDTF">2024-02-25T04:18:14Z</dcterms:modified>
</cp:coreProperties>
</file>