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020CBE-BBA8-47C2-9C3C-28337FBC99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definedNames>
    <definedName name="solver_adj" localSheetId="0">Active!#REF!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Active!$S$19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E21" i="1"/>
  <c r="F21" i="1" s="1"/>
  <c r="G21" i="1" s="1"/>
  <c r="J21" i="1" s="1"/>
  <c r="Q21" i="1"/>
  <c r="E22" i="1"/>
  <c r="F22" i="1"/>
  <c r="G22" i="1"/>
  <c r="J22" i="1" s="1"/>
  <c r="Q22" i="1"/>
  <c r="E23" i="1"/>
  <c r="F23" i="1" s="1"/>
  <c r="G23" i="1" s="1"/>
  <c r="J23" i="1" s="1"/>
  <c r="Q23" i="1"/>
  <c r="E24" i="1"/>
  <c r="F24" i="1" s="1"/>
  <c r="G24" i="1" s="1"/>
  <c r="K24" i="1" s="1"/>
  <c r="Q24" i="1"/>
  <c r="E25" i="1"/>
  <c r="F25" i="1"/>
  <c r="U25" i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/>
  <c r="K30" i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 s="1"/>
  <c r="G34" i="1" s="1"/>
  <c r="K34" i="1" s="1"/>
  <c r="Q34" i="1"/>
  <c r="C11" i="1"/>
  <c r="C12" i="1"/>
  <c r="C16" i="1" l="1"/>
  <c r="D18" i="1" s="1"/>
  <c r="O33" i="1"/>
  <c r="S33" i="1" s="1"/>
  <c r="O29" i="1"/>
  <c r="S29" i="1" s="1"/>
  <c r="O32" i="1"/>
  <c r="S32" i="1" s="1"/>
  <c r="O22" i="1"/>
  <c r="S22" i="1" s="1"/>
  <c r="O34" i="1"/>
  <c r="S34" i="1" s="1"/>
  <c r="O25" i="1"/>
  <c r="S25" i="1" s="1"/>
  <c r="C15" i="1"/>
  <c r="O27" i="1"/>
  <c r="S27" i="1" s="1"/>
  <c r="O24" i="1"/>
  <c r="S24" i="1" s="1"/>
  <c r="O30" i="1"/>
  <c r="S30" i="1" s="1"/>
  <c r="O28" i="1"/>
  <c r="S28" i="1" s="1"/>
  <c r="O31" i="1"/>
  <c r="S31" i="1" s="1"/>
  <c r="O23" i="1"/>
  <c r="S23" i="1" s="1"/>
  <c r="O21" i="1"/>
  <c r="S21" i="1" s="1"/>
  <c r="O26" i="1"/>
  <c r="S26" i="1" s="1"/>
  <c r="S19" i="1" l="1"/>
  <c r="C18" i="1"/>
  <c r="F18" i="1"/>
  <c r="F19" i="1" s="1"/>
</calcChain>
</file>

<file path=xl/sharedStrings.xml><?xml version="1.0" encoding="utf-8"?>
<sst xmlns="http://schemas.openxmlformats.org/spreadsheetml/2006/main" count="85" uniqueCount="59">
  <si>
    <t xml:space="preserve">V0753 Mon / GSC 04823-03308 </t>
  </si>
  <si>
    <t>System Type:</t>
  </si>
  <si>
    <t>na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</si>
  <si>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</si>
  <si>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</si>
  <si>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</si>
  <si>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</si>
  <si>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</si>
  <si>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</si>
  <si>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</si>
  <si>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VSX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</si>
  <si>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</si>
  <si>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</si>
  <si>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</si>
  <si>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</si>
  <si>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</si>
  <si>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</si>
  <si>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</si>
  <si>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</si>
  <si>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</si>
  <si>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</si>
  <si>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</si>
  <si>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</si>
  <si>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</si>
  <si>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</si>
  <si>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</si>
  <si>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</si>
  <si>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</si>
  <si>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</si>
  <si>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</si>
  <si>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</si>
  <si>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</si>
  <si>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</si>
  <si>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</si>
  <si>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</si>
  <si>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</si>
  <si>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</si>
  <si>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</si>
  <si>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</si>
  <si>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</si>
  <si>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</si>
  <si>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</si>
  <si>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</si>
  <si>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</si>
  <si>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IBVS 5623</t>
  </si>
  <si>
    <t>I</t>
  </si>
  <si>
    <t>II</t>
  </si>
  <si>
    <t>IBVS 5668</t>
  </si>
  <si>
    <t>IBVS 5992</t>
  </si>
  <si>
    <t>OEJV 0160</t>
  </si>
  <si>
    <t>2013JAVSO..41..328</t>
  </si>
  <si>
    <t>VSB-64</t>
  </si>
  <si>
    <t>Ic</t>
  </si>
  <si>
    <t>IBVS 6244</t>
  </si>
  <si>
    <t>OEJV 0211</t>
  </si>
  <si>
    <t>VSB 067</t>
  </si>
  <si>
    <t>cG</t>
  </si>
  <si>
    <t>V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</si>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</sst>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"/>
  </numFmts>
  <fonts count="1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  <xf numFmtId="0" fontId="9" fillId="0" borderId="0"/>
  </cellStyleXfs>
  <cellXfs count="4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top"/>
    </xf>
    <xf numFmtId="0" fontId="7" fillId="0" borderId="0" xfId="5" applyFont="1"/>
    <xf numFmtId="0" fontId="7" fillId="0" borderId="0" xfId="5" applyFont="1" applyBorder="1" applyAlignment="1">
      <alignment horizontal="center"/>
    </xf>
    <xf numFmtId="167" fontId="7" fillId="0" borderId="0" xfId="5" applyNumberFormat="1" applyFont="1" applyFill="1" applyBorder="1" applyAlignment="1" applyProtection="1">
      <alignment horizontal="left" vertical="top"/>
    </xf>
    <xf numFmtId="0" fontId="7" fillId="0" borderId="0" xfId="5" applyNumberFormat="1" applyFont="1" applyFill="1" applyBorder="1" applyAlignment="1" applyProtection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V0753 Mon - O-C Diagr.</a:t>
            </a:r>
          </a:p>
        </c:rich>
      </c:tx>
      <c:layout>
        <c:manualLayout>
          <c:xMode val="edge"/>
          <c:yMode val="edge"/>
          <c:x val="0.34895025843901983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0388514309963"/>
          <c:y val="0.14181319078234486"/>
          <c:w val="0.83190060823235423"/>
          <c:h val="0.64854406960597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Active!$H$21:$H$34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B-4903-BDE4-F0D9F35D97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Active!$I$21:$I$34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4B-4903-BDE4-F0D9F35D971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Active!$J$21:$J$34</c:f>
              <c:numCache>
                <c:formatCode>General</c:formatCode>
                <c:ptCount val="14"/>
                <c:pt idx="0">
                  <c:v>7.1999999636318535E-4</c:v>
                </c:pt>
                <c:pt idx="1">
                  <c:v>-2.9999995604157448E-5</c:v>
                </c:pt>
                <c:pt idx="2">
                  <c:v>3.6749999708263204E-4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4B-4903-BDE4-F0D9F35D971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Active!$K$21:$K$34</c:f>
              <c:numCache>
                <c:formatCode>General</c:formatCode>
                <c:ptCount val="14"/>
                <c:pt idx="3">
                  <c:v>1.9749999773921445E-4</c:v>
                </c:pt>
                <c:pt idx="5">
                  <c:v>-3.432499994232785E-3</c:v>
                </c:pt>
                <c:pt idx="6">
                  <c:v>-3.8524999981746078E-3</c:v>
                </c:pt>
                <c:pt idx="7">
                  <c:v>-6.4475000035599805E-3</c:v>
                </c:pt>
                <c:pt idx="8">
                  <c:v>-2.4599999960628338E-3</c:v>
                </c:pt>
                <c:pt idx="9">
                  <c:v>-9.5850002035149373E-3</c:v>
                </c:pt>
                <c:pt idx="10">
                  <c:v>-7.5575000009848736E-3</c:v>
                </c:pt>
                <c:pt idx="11">
                  <c:v>-1.1330000001180451E-2</c:v>
                </c:pt>
                <c:pt idx="12">
                  <c:v>-1.0829999999259599E-2</c:v>
                </c:pt>
                <c:pt idx="13">
                  <c:v>-1.0630000004312024E-2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4B-4903-BDE4-F0D9F35D971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Active!$L$21:$L$34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4B-4903-BDE4-F0D9F35D97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Active!$M$21:$M$34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4B-4903-BDE4-F0D9F35D97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Active!$N$21:$N$34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4B-4903-BDE4-F0D9F35D97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Active!$O$21:$O$34</c:f>
              <c:numCache>
                <c:formatCode>General</c:formatCode>
                <c:ptCount val="14"/>
                <c:pt idx="0">
                  <c:v>8.5120125895747235E-3</c:v>
                </c:pt>
                <c:pt idx="1">
                  <c:v>8.4929726224557411E-3</c:v>
                </c:pt>
                <c:pt idx="2">
                  <c:v>8.4082447687762671E-3</c:v>
                </c:pt>
                <c:pt idx="3">
                  <c:v>6.3024244054167688E-3</c:v>
                </c:pt>
                <c:pt idx="4">
                  <c:v>-8.6136322310051156E-4</c:v>
                </c:pt>
                <c:pt idx="5">
                  <c:v>-2.6273201733861664E-3</c:v>
                </c:pt>
                <c:pt idx="6">
                  <c:v>-2.8938797130519259E-3</c:v>
                </c:pt>
                <c:pt idx="7">
                  <c:v>-6.8751368376312296E-3</c:v>
                </c:pt>
                <c:pt idx="8">
                  <c:v>-6.9941366321248722E-3</c:v>
                </c:pt>
                <c:pt idx="9">
                  <c:v>-7.9175750373955377E-3</c:v>
                </c:pt>
                <c:pt idx="10">
                  <c:v>-9.0038051615335089E-3</c:v>
                </c:pt>
                <c:pt idx="11">
                  <c:v>-9.9377155487196146E-3</c:v>
                </c:pt>
                <c:pt idx="12">
                  <c:v>-9.9377155487196146E-3</c:v>
                </c:pt>
                <c:pt idx="13">
                  <c:v>-9.9377155487196146E-3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4B-4903-BDE4-F0D9F35D97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Active!$F$21:$F$34</c:f>
              <c:numCache>
                <c:formatCode>General</c:formatCode>
                <c:ptCount val="14"/>
                <c:pt idx="0">
                  <c:v>-616</c:v>
                </c:pt>
                <c:pt idx="1">
                  <c:v>-606</c:v>
                </c:pt>
                <c:pt idx="2">
                  <c:v>-561.5</c:v>
                </c:pt>
                <c:pt idx="3">
                  <c:v>544.5</c:v>
                </c:pt>
                <c:pt idx="4">
                  <c:v>4307</c:v>
                </c:pt>
                <c:pt idx="5">
                  <c:v>5234.5</c:v>
                </c:pt>
                <c:pt idx="6">
                  <c:v>5374.5</c:v>
                </c:pt>
                <c:pt idx="7">
                  <c:v>7465.5</c:v>
                </c:pt>
                <c:pt idx="8">
                  <c:v>7528</c:v>
                </c:pt>
                <c:pt idx="9">
                  <c:v>8013</c:v>
                </c:pt>
                <c:pt idx="10">
                  <c:v>8583.5</c:v>
                </c:pt>
                <c:pt idx="11">
                  <c:v>9074</c:v>
                </c:pt>
                <c:pt idx="12">
                  <c:v>9074</c:v>
                </c:pt>
                <c:pt idx="13">
                  <c:v>9074</c:v>
                </c:pt>
              </c:numCache>
            </c:numRef>
          </c:xVal>
          <c:yVal>
            <c:numRef>
              <c:f>Active!$U$21:$U$34</c:f>
              <c:numCache>
                <c:formatCode>General</c:formatCode>
                <c:ptCount val="14"/>
                <c:pt idx="4">
                  <c:v>1.0850000035134144E-3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4B-4903-BDE4-F0D9F35D9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11520"/>
        <c:axId val="1"/>
      </c:scatterChart>
      <c:valAx>
        <c:axId val="89031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230185298693951E-2"/>
              <c:y val="0.3789278175090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311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89687499999999998"/>
          <c:w val="0.757674345634097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28574</xdr:rowOff>
    </xdr:from>
    <xdr:to>
      <xdr:col>17</xdr:col>
      <xdr:colOff>123825</xdr:colOff>
      <xdr:row>18</xdr:row>
      <xdr:rowOff>133349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2612B6-6B36-27D5-166B-1C795D019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" style="1" customWidth="1"/>
    <col min="6" max="6" width="15.5703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C4" s="4" t="s">
        <v>4</v>
      </c>
      <c r="D4" s="5" t="s">
        <v>4</v>
      </c>
    </row>
    <row r="5" spans="1:6" x14ac:dyDescent="0.2">
      <c r="A5" s="6" t="s">
        <v>5</v>
      </c>
      <c r="B5"/>
      <c r="C5" s="7">
        <v>-9.5</v>
      </c>
      <c r="D5" t="s">
        <v>6</v>
      </c>
      <c r="E5"/>
    </row>
    <row r="6" spans="1:6" x14ac:dyDescent="0.2">
      <c r="A6" s="3" t="s">
        <v>7</v>
      </c>
    </row>
    <row r="7" spans="1:6" x14ac:dyDescent="0.2">
      <c r="A7" s="1" t="s">
        <v>8</v>
      </c>
      <c r="C7" s="1">
        <v>52701.612099999998</v>
      </c>
      <c r="D7" s="1" t="s">
        <v>10</v>
      </c>
    </row>
    <row r="8" spans="1:6" x14ac:dyDescent="0.2">
      <c r="A8" s="1" t="s">
        <v>9</v>
      </c>
      <c r="C8" s="1">
        <v>0.67704500000000001</v>
      </c>
      <c r="D8" s="1" t="s">
        <v>10</v>
      </c>
    </row>
    <row r="9" spans="1:6" x14ac:dyDescent="0.2">
      <c r="A9" s="8" t="s">
        <v>11</v>
      </c>
      <c r="B9" s="9">
        <v>26</v>
      </c>
      <c r="C9" s="10" t="str">
        <f>"F"&amp;B9</f>
        <v>F26</v>
      </c>
      <c r="D9" s="11" t="str">
        <f>"G"&amp;B9</f>
        <v>G26</v>
      </c>
    </row>
    <row r="10" spans="1:6" x14ac:dyDescent="0.2">
      <c r="A10"/>
      <c r="B10"/>
      <c r="C10" s="12" t="s">
        <v>12</v>
      </c>
      <c r="D10" s="12" t="s">
        <v>13</v>
      </c>
      <c r="E10"/>
    </row>
    <row r="11" spans="1:6" x14ac:dyDescent="0.2">
      <c r="A11" t="s">
        <v>14</v>
      </c>
      <c r="B11"/>
      <c r="C11" s="13">
        <f ca="1">INTERCEPT(INDIRECT($D$9):G992,INDIRECT($C$9):F992)</f>
        <v>7.3391506150453827E-3</v>
      </c>
      <c r="D11" s="14"/>
      <c r="E11"/>
    </row>
    <row r="12" spans="1:6" x14ac:dyDescent="0.2">
      <c r="A12" t="s">
        <v>15</v>
      </c>
      <c r="B12"/>
      <c r="C12" s="13">
        <f ca="1">SLOPE(INDIRECT($D$9):G992,INDIRECT($C$9):F992)</f>
        <v>-1.9039967118982805E-6</v>
      </c>
      <c r="D12" s="14"/>
      <c r="E12"/>
    </row>
    <row r="13" spans="1:6" x14ac:dyDescent="0.2">
      <c r="A13" t="s">
        <v>16</v>
      </c>
      <c r="B13"/>
      <c r="C13" s="14" t="s">
        <v>2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(C7+C11)+(C8+C12)*INT(MAX(F21:F3533))</f>
        <v>58845.108492284453</v>
      </c>
      <c r="E15" s="17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0.67704309600328816</v>
      </c>
      <c r="E16" s="17" t="s">
        <v>20</v>
      </c>
      <c r="F16" s="13">
        <f ca="1">NOW()+15018.5+$C$5/24</f>
        <v>60365.730529513887</v>
      </c>
    </row>
    <row r="17" spans="1:21" x14ac:dyDescent="0.2">
      <c r="A17" s="17" t="s">
        <v>21</v>
      </c>
      <c r="B17"/>
      <c r="C17">
        <f>COUNT(C21:C2191)</f>
        <v>14</v>
      </c>
      <c r="E17" s="17" t="s">
        <v>22</v>
      </c>
      <c r="F17" s="13">
        <f ca="1">ROUND(2*(F16-$C$7)/$C$8,0)/2+F15</f>
        <v>11321</v>
      </c>
    </row>
    <row r="18" spans="1:21" x14ac:dyDescent="0.2">
      <c r="A18" s="15" t="s">
        <v>23</v>
      </c>
      <c r="B18"/>
      <c r="C18" s="18">
        <f ca="1">+C15</f>
        <v>58845.108492284453</v>
      </c>
      <c r="D18" s="19">
        <f ca="1">+C16</f>
        <v>0.67704309600328816</v>
      </c>
      <c r="E18" s="17" t="s">
        <v>24</v>
      </c>
      <c r="F18" s="11">
        <f ca="1">ROUND(2*(F16-$C$15)/$C$16,0)/2+F15</f>
        <v>2247</v>
      </c>
    </row>
    <row r="19" spans="1:21" x14ac:dyDescent="0.2">
      <c r="E19" s="17" t="s">
        <v>25</v>
      </c>
      <c r="F19" s="20">
        <f ca="1">+$C$15+$C$16*F18-15018.5-$C$5/24</f>
        <v>45348.320162337179</v>
      </c>
      <c r="S19" s="1">
        <f ca="1">SUM(S21:S24)</f>
        <v>2.3528020100794167E-4</v>
      </c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2" t="s">
        <v>42</v>
      </c>
      <c r="U20" s="22" t="s">
        <v>43</v>
      </c>
    </row>
    <row r="21" spans="1:21" x14ac:dyDescent="0.2">
      <c r="A21" s="23" t="s">
        <v>44</v>
      </c>
      <c r="B21" s="14" t="s">
        <v>45</v>
      </c>
      <c r="C21" s="23">
        <v>52284.553099999997</v>
      </c>
      <c r="D21" s="23">
        <v>2.9999999999999997E-4</v>
      </c>
      <c r="E21" s="1">
        <f t="shared" ref="E21:E27" si="0">+(C21-C$7)/C$8</f>
        <v>-615.99893655517894</v>
      </c>
      <c r="F21" s="1">
        <f t="shared" ref="F21:F34" si="1">ROUND(2*E21,0)/2</f>
        <v>-616</v>
      </c>
      <c r="G21" s="1">
        <f>+C21-(C$7+F21*C$8)</f>
        <v>7.1999999636318535E-4</v>
      </c>
      <c r="J21" s="1">
        <f>+G21</f>
        <v>7.1999999636318535E-4</v>
      </c>
      <c r="O21" s="1">
        <f t="shared" ref="O21:O27" ca="1" si="2">+C$11+C$12*$F21</f>
        <v>8.5120125895747235E-3</v>
      </c>
      <c r="Q21" s="24">
        <f t="shared" ref="Q21:Q27" si="3">+C21-15018.5</f>
        <v>37266.053099999997</v>
      </c>
      <c r="R21" s="1" t="s">
        <v>35</v>
      </c>
      <c r="S21" s="1">
        <f ca="1">+(O21-G21)^2</f>
        <v>6.0715460252767197E-5</v>
      </c>
    </row>
    <row r="22" spans="1:21" x14ac:dyDescent="0.2">
      <c r="A22" s="23" t="s">
        <v>44</v>
      </c>
      <c r="B22" s="14" t="s">
        <v>45</v>
      </c>
      <c r="C22" s="23">
        <v>52291.322800000002</v>
      </c>
      <c r="D22" s="23">
        <v>4.0000000000000002E-4</v>
      </c>
      <c r="E22" s="1">
        <f t="shared" si="0"/>
        <v>-606.00004431019613</v>
      </c>
      <c r="F22" s="1">
        <f t="shared" si="1"/>
        <v>-606</v>
      </c>
      <c r="G22" s="1">
        <f>+C22-(C$7+F22*C$8)</f>
        <v>-2.9999995604157448E-5</v>
      </c>
      <c r="J22" s="1">
        <f>+G22</f>
        <v>-2.9999995604157448E-5</v>
      </c>
      <c r="O22" s="1">
        <f t="shared" ca="1" si="2"/>
        <v>8.4929726224557411E-3</v>
      </c>
      <c r="Q22" s="24">
        <f t="shared" si="3"/>
        <v>37272.822800000002</v>
      </c>
      <c r="R22" s="1" t="s">
        <v>35</v>
      </c>
      <c r="S22" s="1">
        <f ca="1">+(O22-G22)^2</f>
        <v>7.2641062248198808E-5</v>
      </c>
    </row>
    <row r="23" spans="1:21" x14ac:dyDescent="0.2">
      <c r="A23" s="25" t="s">
        <v>44</v>
      </c>
      <c r="B23" s="26" t="s">
        <v>46</v>
      </c>
      <c r="C23" s="25">
        <v>52321.451699999998</v>
      </c>
      <c r="D23" s="25">
        <v>4.0000000000000002E-4</v>
      </c>
      <c r="E23" s="1">
        <f t="shared" si="0"/>
        <v>-561.49945720003939</v>
      </c>
      <c r="F23" s="1">
        <f t="shared" si="1"/>
        <v>-561.5</v>
      </c>
      <c r="G23" s="1">
        <f>+C23-(C$7+F23*C$8)</f>
        <v>3.6749999708263204E-4</v>
      </c>
      <c r="J23" s="1">
        <f>+G23</f>
        <v>3.6749999708263204E-4</v>
      </c>
      <c r="O23" s="1">
        <f t="shared" ca="1" si="2"/>
        <v>8.4082447687762671E-3</v>
      </c>
      <c r="Q23" s="24">
        <f t="shared" si="3"/>
        <v>37302.951699999998</v>
      </c>
      <c r="R23" s="1" t="s">
        <v>35</v>
      </c>
      <c r="S23" s="1">
        <f ca="1">+(O23-G23)^2</f>
        <v>6.4653576483518521E-5</v>
      </c>
    </row>
    <row r="24" spans="1:21" x14ac:dyDescent="0.2">
      <c r="A24" s="27" t="s">
        <v>47</v>
      </c>
      <c r="B24" s="28" t="s">
        <v>45</v>
      </c>
      <c r="C24" s="27">
        <v>53070.263299999999</v>
      </c>
      <c r="D24" s="27">
        <v>1E-4</v>
      </c>
      <c r="E24" s="1">
        <f t="shared" si="0"/>
        <v>544.50029170882328</v>
      </c>
      <c r="F24" s="1">
        <f t="shared" si="1"/>
        <v>544.5</v>
      </c>
      <c r="G24" s="1">
        <f>+C24-(C$7+F24*C$8)</f>
        <v>1.9749999773921445E-4</v>
      </c>
      <c r="K24" s="1">
        <f>+G24</f>
        <v>1.9749999773921445E-4</v>
      </c>
      <c r="O24" s="1">
        <f t="shared" ca="1" si="2"/>
        <v>6.3024244054167688E-3</v>
      </c>
      <c r="Q24" s="24">
        <f t="shared" si="3"/>
        <v>38051.763299999999</v>
      </c>
      <c r="R24" s="1" t="s">
        <v>36</v>
      </c>
      <c r="S24" s="1">
        <f ca="1">+(O24-G24)^2</f>
        <v>3.7270102023457141E-5</v>
      </c>
    </row>
    <row r="25" spans="1:21" x14ac:dyDescent="0.2">
      <c r="A25" s="29" t="s">
        <v>48</v>
      </c>
      <c r="B25" s="30" t="s">
        <v>45</v>
      </c>
      <c r="C25" s="29">
        <v>55617.646000000001</v>
      </c>
      <c r="D25" s="29">
        <v>3.0000000000000001E-3</v>
      </c>
      <c r="E25" s="1">
        <f t="shared" si="0"/>
        <v>4307.0016025522709</v>
      </c>
      <c r="F25" s="1">
        <f t="shared" si="1"/>
        <v>4307</v>
      </c>
      <c r="O25" s="1">
        <f t="shared" ca="1" si="2"/>
        <v>-8.6136322310051156E-4</v>
      </c>
      <c r="Q25" s="24">
        <f t="shared" si="3"/>
        <v>40599.146000000001</v>
      </c>
      <c r="R25" s="1" t="s">
        <v>36</v>
      </c>
      <c r="S25" s="1">
        <f ca="1">+(O25-U25)^2</f>
        <v>3.7883298099149729E-6</v>
      </c>
      <c r="U25" s="1">
        <f>+C25-(C$7+F25*C$8)</f>
        <v>1.0850000035134144E-3</v>
      </c>
    </row>
    <row r="26" spans="1:21" x14ac:dyDescent="0.2">
      <c r="A26" s="31" t="s">
        <v>49</v>
      </c>
      <c r="B26" s="26" t="s">
        <v>45</v>
      </c>
      <c r="C26" s="25">
        <v>56245.600720000002</v>
      </c>
      <c r="D26" s="25">
        <v>2.9999999999999997E-4</v>
      </c>
      <c r="E26" s="1">
        <f t="shared" si="0"/>
        <v>5234.4949301745137</v>
      </c>
      <c r="F26" s="1">
        <f t="shared" si="1"/>
        <v>5234.5</v>
      </c>
      <c r="G26" s="1">
        <f>+C26-(C$7+F26*C$8)</f>
        <v>-3.432499994232785E-3</v>
      </c>
      <c r="K26" s="1">
        <f>+G26</f>
        <v>-3.432499994232785E-3</v>
      </c>
      <c r="O26" s="1">
        <f t="shared" ca="1" si="2"/>
        <v>-2.6273201733861664E-3</v>
      </c>
      <c r="Q26" s="24">
        <f t="shared" si="3"/>
        <v>41227.100720000002</v>
      </c>
      <c r="S26" s="1">
        <f ca="1">+(O26-G26)^2</f>
        <v>6.4831454389859282E-7</v>
      </c>
    </row>
    <row r="27" spans="1:21" x14ac:dyDescent="0.2">
      <c r="A27" s="31" t="s">
        <v>50</v>
      </c>
      <c r="B27" s="26" t="s">
        <v>46</v>
      </c>
      <c r="C27" s="25">
        <v>56340.386599999998</v>
      </c>
      <c r="D27" s="25">
        <v>4.0000000000000002E-4</v>
      </c>
      <c r="E27" s="1">
        <f t="shared" si="0"/>
        <v>5374.4943098316944</v>
      </c>
      <c r="F27" s="1">
        <f t="shared" si="1"/>
        <v>5374.5</v>
      </c>
      <c r="G27" s="1">
        <f>+C27-(C$7+F27*C$8)</f>
        <v>-3.8524999981746078E-3</v>
      </c>
      <c r="K27" s="1">
        <f>+G27</f>
        <v>-3.8524999981746078E-3</v>
      </c>
      <c r="O27" s="1">
        <f t="shared" ca="1" si="2"/>
        <v>-2.8938797130519259E-3</v>
      </c>
      <c r="Q27" s="24">
        <f t="shared" si="3"/>
        <v>41321.886599999998</v>
      </c>
      <c r="S27" s="1">
        <f ca="1">+(O27-G27)^2</f>
        <v>9.1895285104869187E-7</v>
      </c>
    </row>
    <row r="28" spans="1:21" x14ac:dyDescent="0.2">
      <c r="A28" s="32" t="s">
        <v>51</v>
      </c>
      <c r="B28" s="33" t="s">
        <v>45</v>
      </c>
      <c r="C28" s="34">
        <v>57756.085099999997</v>
      </c>
      <c r="D28" s="35" t="s">
        <v>52</v>
      </c>
      <c r="E28" s="1">
        <f>+(C28-C$7)/C$8</f>
        <v>7465.49047699931</v>
      </c>
      <c r="F28" s="1">
        <f t="shared" si="1"/>
        <v>7465.5</v>
      </c>
      <c r="G28" s="1">
        <f>+C28-(C$7+F28*C$8)</f>
        <v>-6.4475000035599805E-3</v>
      </c>
      <c r="K28" s="1">
        <f>+G28</f>
        <v>-6.4475000035599805E-3</v>
      </c>
      <c r="O28" s="1">
        <f ca="1">+C$11+C$12*$F28</f>
        <v>-6.8751368376312296E-3</v>
      </c>
      <c r="Q28" s="24">
        <f>+C28-15018.5</f>
        <v>42737.585099999997</v>
      </c>
      <c r="S28" s="1">
        <f ca="1">+(O28-G28)^2</f>
        <v>1.8287326185448098E-7</v>
      </c>
    </row>
    <row r="29" spans="1:21" x14ac:dyDescent="0.2">
      <c r="A29" s="36" t="s">
        <v>53</v>
      </c>
      <c r="B29" s="37" t="s">
        <v>45</v>
      </c>
      <c r="C29" s="38">
        <v>57798.404399999999</v>
      </c>
      <c r="D29" s="38">
        <v>1.8E-3</v>
      </c>
      <c r="E29" s="1">
        <f t="shared" ref="E29:E34" si="4">+(C29-C$7)/C$8</f>
        <v>7527.9963665635241</v>
      </c>
      <c r="F29" s="1">
        <f t="shared" si="1"/>
        <v>7528</v>
      </c>
      <c r="G29" s="1">
        <f t="shared" ref="G29:G34" si="5">+C29-(C$7+F29*C$8)</f>
        <v>-2.4599999960628338E-3</v>
      </c>
      <c r="K29" s="1">
        <f t="shared" ref="K29:K34" si="6">+G29</f>
        <v>-2.4599999960628338E-3</v>
      </c>
      <c r="O29" s="1">
        <f t="shared" ref="O29:O34" ca="1" si="7">+C$11+C$12*$F29</f>
        <v>-6.9941366321248722E-3</v>
      </c>
      <c r="Q29" s="24">
        <f t="shared" ref="Q29:Q34" si="8">+C29-15018.5</f>
        <v>42779.904399999999</v>
      </c>
      <c r="S29" s="1">
        <f t="shared" ref="S29:S34" ca="1" si="9">+(O29-G29)^2</f>
        <v>2.0558395034479976E-5</v>
      </c>
    </row>
    <row r="30" spans="1:21" x14ac:dyDescent="0.2">
      <c r="A30" s="39" t="s">
        <v>54</v>
      </c>
      <c r="B30" s="40" t="s">
        <v>46</v>
      </c>
      <c r="C30" s="41">
        <v>58126.764099999797</v>
      </c>
      <c r="D30" s="41">
        <v>5.0000000000000001E-4</v>
      </c>
      <c r="E30" s="1">
        <f t="shared" si="4"/>
        <v>8012.985842890499</v>
      </c>
      <c r="F30" s="1">
        <f t="shared" si="1"/>
        <v>8013</v>
      </c>
      <c r="G30" s="1">
        <f t="shared" si="5"/>
        <v>-9.5850002035149373E-3</v>
      </c>
      <c r="K30" s="1">
        <f t="shared" si="6"/>
        <v>-9.5850002035149373E-3</v>
      </c>
      <c r="O30" s="1">
        <f t="shared" ca="1" si="7"/>
        <v>-7.9175750373955377E-3</v>
      </c>
      <c r="Q30" s="24">
        <f t="shared" si="8"/>
        <v>43108.264099999797</v>
      </c>
      <c r="S30" s="1">
        <f t="shared" ca="1" si="9"/>
        <v>2.7803066846083077E-6</v>
      </c>
    </row>
    <row r="31" spans="1:21" x14ac:dyDescent="0.2">
      <c r="A31" s="42" t="s">
        <v>55</v>
      </c>
      <c r="B31" s="43" t="s">
        <v>46</v>
      </c>
      <c r="C31" s="44">
        <v>58513.020299999996</v>
      </c>
      <c r="D31" s="44" t="s">
        <v>56</v>
      </c>
      <c r="E31" s="1">
        <f t="shared" si="4"/>
        <v>8583.4888375218743</v>
      </c>
      <c r="F31" s="1">
        <f t="shared" si="1"/>
        <v>8583.5</v>
      </c>
      <c r="G31" s="1">
        <f t="shared" si="5"/>
        <v>-7.5575000009848736E-3</v>
      </c>
      <c r="K31" s="1">
        <f t="shared" si="6"/>
        <v>-7.5575000009848736E-3</v>
      </c>
      <c r="O31" s="1">
        <f t="shared" ca="1" si="7"/>
        <v>-9.0038051615335089E-3</v>
      </c>
      <c r="Q31" s="24">
        <f t="shared" si="8"/>
        <v>43494.520299999996</v>
      </c>
      <c r="S31" s="1">
        <f t="shared" ca="1" si="9"/>
        <v>2.0917986174296138E-6</v>
      </c>
    </row>
    <row r="32" spans="1:21" x14ac:dyDescent="0.2">
      <c r="A32" s="42" t="s">
        <v>55</v>
      </c>
      <c r="B32" s="43" t="s">
        <v>45</v>
      </c>
      <c r="C32" s="44">
        <v>58845.107100000001</v>
      </c>
      <c r="D32" s="44" t="s">
        <v>52</v>
      </c>
      <c r="E32" s="1">
        <f t="shared" si="4"/>
        <v>9073.9832655141126</v>
      </c>
      <c r="F32" s="1">
        <f t="shared" si="1"/>
        <v>9074</v>
      </c>
      <c r="G32" s="1">
        <f t="shared" si="5"/>
        <v>-1.1330000001180451E-2</v>
      </c>
      <c r="K32" s="1">
        <f t="shared" si="6"/>
        <v>-1.1330000001180451E-2</v>
      </c>
      <c r="O32" s="1">
        <f t="shared" ca="1" si="7"/>
        <v>-9.9377155487196146E-3</v>
      </c>
      <c r="Q32" s="24">
        <f t="shared" si="8"/>
        <v>43826.607100000001</v>
      </c>
      <c r="S32" s="1">
        <f t="shared" ca="1" si="9"/>
        <v>1.938455996564172E-6</v>
      </c>
    </row>
    <row r="33" spans="1:19" x14ac:dyDescent="0.2">
      <c r="A33" s="42" t="s">
        <v>55</v>
      </c>
      <c r="B33" s="43" t="s">
        <v>45</v>
      </c>
      <c r="C33" s="44">
        <v>58845.107600000003</v>
      </c>
      <c r="D33" s="44" t="s">
        <v>57</v>
      </c>
      <c r="E33" s="1">
        <f t="shared" si="4"/>
        <v>9073.984004017464</v>
      </c>
      <c r="F33" s="1">
        <f t="shared" si="1"/>
        <v>9074</v>
      </c>
      <c r="G33" s="1">
        <f t="shared" si="5"/>
        <v>-1.0829999999259599E-2</v>
      </c>
      <c r="K33" s="1">
        <f t="shared" si="6"/>
        <v>-1.0829999999259599E-2</v>
      </c>
      <c r="O33" s="1">
        <f t="shared" ca="1" si="7"/>
        <v>-9.9377155487196146E-3</v>
      </c>
      <c r="Q33" s="24">
        <f t="shared" si="8"/>
        <v>43826.607600000003</v>
      </c>
      <c r="S33" s="1">
        <f t="shared" ca="1" si="9"/>
        <v>7.96171540675441E-7</v>
      </c>
    </row>
    <row r="34" spans="1:19" x14ac:dyDescent="0.2">
      <c r="A34" s="42" t="s">
        <v>55</v>
      </c>
      <c r="B34" s="43" t="s">
        <v>45</v>
      </c>
      <c r="C34" s="44">
        <v>58845.107799999998</v>
      </c>
      <c r="D34" s="44" t="s">
        <v>58</v>
      </c>
      <c r="E34" s="1">
        <f t="shared" si="4"/>
        <v>9073.9842994187966</v>
      </c>
      <c r="F34" s="1">
        <f t="shared" si="1"/>
        <v>9074</v>
      </c>
      <c r="G34" s="1">
        <f t="shared" si="5"/>
        <v>-1.0630000004312024E-2</v>
      </c>
      <c r="K34" s="1">
        <f t="shared" si="6"/>
        <v>-1.0630000004312024E-2</v>
      </c>
      <c r="O34" s="1">
        <f t="shared" ca="1" si="7"/>
        <v>-9.9377155487196146E-3</v>
      </c>
      <c r="Q34" s="24">
        <f t="shared" si="8"/>
        <v>43826.607799999998</v>
      </c>
      <c r="S34" s="1">
        <f t="shared" ca="1" si="9"/>
        <v>4.7925776745487799E-7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2024-02-25T04:31:57Z</dcterms:created>
  <dcterms:modified xsi:type="dcterms:W3CDTF">2024-02-25T04:31:57Z</dcterms:modified>
</cp:coreProperties>
</file>