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ED45EA-F717-4AE1-8723-332532B39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C9" i="1"/>
  <c r="C21" i="1"/>
  <c r="E21" i="1" s="1"/>
  <c r="F21" i="1" s="1"/>
  <c r="D9" i="1"/>
  <c r="A21" i="1"/>
  <c r="F15" i="1"/>
  <c r="C17" i="1"/>
  <c r="Q21" i="1" l="1"/>
  <c r="G21" i="1"/>
  <c r="F16" i="1"/>
  <c r="C12" i="1"/>
  <c r="C11" i="1"/>
  <c r="C15" i="1" l="1"/>
  <c r="O21" i="1"/>
  <c r="O22" i="1"/>
  <c r="C16" i="1"/>
  <c r="D18" i="1" s="1"/>
  <c r="I21" i="1"/>
  <c r="C18" i="1" l="1"/>
  <c r="F17" i="1"/>
  <c r="F18" i="1" s="1"/>
  <c r="F19" i="1" l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<sst xmlns="http://schemas.openxmlformats.org/spreadsheetml/2006/main" count="51" uniqueCount="49">
  <si>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</si>
  <si>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</si>
  <si>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</si>
  <si>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</si>
  <si>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</si>
  <si>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</si>
  <si>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</si>
  <si>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</si>
  <si>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</si>
  <si>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</si>
  <si>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</si>
  <si>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</si>
  <si>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</si>
  <si>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</si>
  <si>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</si>
  <si>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</si>
  <si>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</si>
  <si>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</si>
  <si>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</si>
  <si>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</si>
  <si>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</si>
  <si>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</si>
  <si>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</si>
  <si>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</si>
  <si>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</si>
  <si>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</si>
  <si>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</si>
  <si>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</si>
  <si>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</si>
  <si>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</si>
  <si>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</si>
  <si>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</si>
  <si>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</si>
  <si>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</si>
  <si>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</si>
  <si>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</si>
  <si>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</si>
  <si>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</si>
  <si>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</si>
  <si>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</si>
  <si>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</si>
  <si>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OEJV 0215</t>
  </si>
  <si>
    <t>G2816-2000 Mus??</t>
  </si>
  <si>
    <t>G2816-2000 Mus?</t>
  </si>
  <si>
    <t>Next ToM-P</t>
  </si>
  <si>
    <t>Next ToM-S</t>
  </si>
  <si>
    <t>Artificial</t>
  </si>
  <si>
    <t xml:space="preserve">Mag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</si>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</sst>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/>
    <xf numFmtId="0" fontId="18" fillId="0" borderId="0" xfId="0" applyFont="1" applyAlignment="1"/>
    <xf numFmtId="0" fontId="0" fillId="0" borderId="0" xfId="0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top"/>
    </xf>
    <xf numFmtId="0" fontId="12" fillId="0" borderId="10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8" fillId="0" borderId="10" xfId="0" applyFont="1" applyBorder="1" applyAlignment="1">
      <alignment horizontal="right"/>
    </xf>
    <xf numFmtId="22" fontId="8" fillId="0" borderId="10" xfId="0" applyNumberFormat="1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22" fontId="19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G2816-2000 Mus - O-C Diagr.</a:t>
            </a:r>
          </a:p>
        </c:rich>
      </c:tx>
      <c:layout>
        <c:manualLayout>
          <c:xMode val="edge"/>
          <c:yMode val="edge"/>
          <c:x val="0.39047619047619048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D0-4588-880D-BABB5A0868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D0-4588-880D-BABB5A0868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D0-4588-880D-BABB5A0868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D0-4588-880D-BABB5A0868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D0-4588-880D-BABB5A0868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D0-4588-880D-BABB5A0868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D0-4588-880D-BABB5A0868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D0-4588-880D-BABB5A0868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55887.5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D0-4588-880D-BABB5A086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36296"/>
        <c:axId val="1"/>
      </c:scatterChart>
      <c:valAx>
        <c:axId val="39723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23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3E19BC9-1D9F-844F-D95F-1D8E90E3F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5703125" customWidth="1"/>
    <col min="18" max="18" width="9.140625" customWidth="1"/>
  </cols>
  <sheetData>
    <row r="1" spans="1:15" ht="20.25" x14ac:dyDescent="0.3">
      <c r="A1" s="42" t="s">
        <v>43</v>
      </c>
      <c r="E1" s="43"/>
      <c r="F1" s="30" t="s">
        <v>42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C2" s="27"/>
    </row>
    <row r="3" spans="1:15" ht="13.5" thickBot="1" x14ac:dyDescent="0.25"/>
    <row r="4" spans="1:15" ht="14.25" thickTop="1" thickBot="1" x14ac:dyDescent="0.25">
      <c r="A4" s="4" t="s">
        <v>0</v>
      </c>
      <c r="C4" s="24" t="s">
        <v>36</v>
      </c>
      <c r="D4" s="25" t="s">
        <v>36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0</v>
      </c>
      <c r="D7" s="26"/>
    </row>
    <row r="8" spans="1:15" x14ac:dyDescent="0.2">
      <c r="A8" t="s">
        <v>3</v>
      </c>
      <c r="C8" s="7">
        <v>1</v>
      </c>
      <c r="D8" s="26"/>
      <c r="E8" s="41" t="s">
        <v>46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18">
        <f ca="1">INTERCEPT(INDIRECT($D$9):G992,INDIRECT($C$9):F992)</f>
        <v>0</v>
      </c>
      <c r="D11" s="2"/>
      <c r="E11" s="9"/>
    </row>
    <row r="12" spans="1:15" x14ac:dyDescent="0.2">
      <c r="A12" s="9" t="s">
        <v>16</v>
      </c>
      <c r="B12" s="9"/>
      <c r="C12" s="18">
        <f ca="1">SLOPE(INDIRECT($D$9):G992,INDIRECT($C$9):F992)</f>
        <v>-1.8250950570154732E-6</v>
      </c>
      <c r="D12" s="2"/>
      <c r="E12" s="9"/>
    </row>
    <row r="13" spans="1:15" x14ac:dyDescent="0.2">
      <c r="A13" s="9" t="s">
        <v>18</v>
      </c>
      <c r="B13" s="9"/>
      <c r="C13" s="2" t="s">
        <v>13</v>
      </c>
      <c r="E13" s="44" t="s">
        <v>47</v>
      </c>
      <c r="F13" s="45" t="s">
        <v>48</v>
      </c>
    </row>
    <row r="14" spans="1:15" x14ac:dyDescent="0.2">
      <c r="A14" s="9"/>
      <c r="B14" s="9"/>
      <c r="C14" s="9"/>
      <c r="E14" s="46" t="s">
        <v>33</v>
      </c>
      <c r="F14" s="47">
        <v>1</v>
      </c>
    </row>
    <row r="15" spans="1:15" x14ac:dyDescent="0.2">
      <c r="A15" s="11" t="s">
        <v>17</v>
      </c>
      <c r="B15" s="9"/>
      <c r="C15" s="12">
        <f ca="1">(C7+C11)+(C8+C12)*INT(MAX(F21:F3533))</f>
        <v>55886.898000912552</v>
      </c>
      <c r="E15" s="46" t="s">
        <v>30</v>
      </c>
      <c r="F15" s="48">
        <f ca="1">NOW()+15018.5+$C$5/24</f>
        <v>60518.77784780092</v>
      </c>
    </row>
    <row r="16" spans="1:15" x14ac:dyDescent="0.2">
      <c r="A16" s="14" t="s">
        <v>4</v>
      </c>
      <c r="B16" s="9"/>
      <c r="C16" s="15">
        <f ca="1">+C8+C12</f>
        <v>0.99999817490494303</v>
      </c>
      <c r="E16" s="46" t="s">
        <v>34</v>
      </c>
      <c r="F16" s="48">
        <f ca="1">ROUND(2*(F15-$C$7)/$C$8,0)/2+F14</f>
        <v>60520</v>
      </c>
    </row>
    <row r="17" spans="1:21" ht="13.5" thickBot="1" x14ac:dyDescent="0.25">
      <c r="A17" s="13" t="s">
        <v>27</v>
      </c>
      <c r="B17" s="9"/>
      <c r="C17" s="9">
        <f>COUNT(C21:C2191)</f>
        <v>2</v>
      </c>
      <c r="E17" s="46" t="s">
        <v>35</v>
      </c>
      <c r="F17" s="49">
        <f ca="1">ROUND(2*(F15-$C$15)/$C$16,0)/2+F14</f>
        <v>4633</v>
      </c>
    </row>
    <row r="18" spans="1:21" ht="14.25" thickTop="1" thickBot="1" x14ac:dyDescent="0.25">
      <c r="A18" s="14" t="s">
        <v>5</v>
      </c>
      <c r="B18" s="9"/>
      <c r="C18" s="16">
        <f ca="1">+C15</f>
        <v>55886.898000912552</v>
      </c>
      <c r="D18" s="17">
        <f ca="1">+C16</f>
        <v>0.99999817490494303</v>
      </c>
      <c r="E18" s="53" t="s">
        <v>44</v>
      </c>
      <c r="F18" s="50">
        <f ca="1">+$C$15+$C$16*$F$17-15018.5-$C$5/24</f>
        <v>45501.785378580491</v>
      </c>
    </row>
    <row r="19" spans="1:21" ht="13.5" thickTop="1" x14ac:dyDescent="0.2">
      <c r="E19" s="51" t="s">
        <v>45</v>
      </c>
      <c r="F19" s="52">
        <f ca="1">+($C$15+$C$16*$F$17)-($C$16/2)-15018.5-$C$5/24</f>
        <v>45501.285379493042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3" t="s">
        <v>32</v>
      </c>
    </row>
    <row r="21" spans="1:21" x14ac:dyDescent="0.2">
      <c r="A21">
        <f>D7</f>
        <v>0</v>
      </c>
      <c r="C21" s="7">
        <f>C$7</f>
        <v>0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37" t="s">
        <v>41</v>
      </c>
      <c r="B22" s="38"/>
      <c r="C22" s="39">
        <v>55887.398000000001</v>
      </c>
      <c r="D22" s="39">
        <v>1.1000000000000001E-3</v>
      </c>
      <c r="E22">
        <f>+(C22-C$7)/C$8</f>
        <v>55887.398000000001</v>
      </c>
      <c r="F22">
        <f>ROUND(2*E22,0)/2</f>
        <v>55887.5</v>
      </c>
      <c r="G22">
        <f>+C22-(C$7+F22*C$8)</f>
        <v>-0.10199999999895226</v>
      </c>
      <c r="I22">
        <f>+G22</f>
        <v>-0.10199999999895226</v>
      </c>
      <c r="O22">
        <f ca="1">+C$11+C$12*$F22</f>
        <v>-0.10199999999895226</v>
      </c>
      <c r="Q22" s="1">
        <f>+C22-15018.5</f>
        <v>40868.898000000001</v>
      </c>
    </row>
    <row r="23" spans="1:21" x14ac:dyDescent="0.2">
      <c r="C23" s="7"/>
      <c r="D23" s="7"/>
      <c r="Q23" s="1"/>
    </row>
    <row r="24" spans="1:21" x14ac:dyDescent="0.2">
      <c r="C24" s="7"/>
      <c r="D24" s="7"/>
      <c r="Q24" s="1"/>
    </row>
    <row r="25" spans="1:21" x14ac:dyDescent="0.2">
      <c r="C25" s="7"/>
      <c r="D25" s="7"/>
      <c r="Q25" s="1"/>
    </row>
    <row r="26" spans="1:21" x14ac:dyDescent="0.2">
      <c r="C26" s="7"/>
      <c r="D26" s="7"/>
      <c r="Q26" s="1"/>
    </row>
    <row r="27" spans="1:21" x14ac:dyDescent="0.2">
      <c r="C27" s="7"/>
      <c r="D27" s="7"/>
      <c r="Q27" s="1"/>
    </row>
    <row r="28" spans="1:21" x14ac:dyDescent="0.2">
      <c r="C28" s="7"/>
      <c r="D28" s="7"/>
      <c r="Q28" s="1"/>
    </row>
    <row r="29" spans="1:21" x14ac:dyDescent="0.2">
      <c r="C29" s="7"/>
      <c r="D29" s="7"/>
      <c r="J29" s="40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2024-07-27T06:40:06Z</dcterms:modified>
</cp:coreProperties>
</file>