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13E371F-8FF8-43C2-9A52-C0EB4540875A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E22" i="1"/>
  <c r="F22" i="1"/>
  <c r="G22" i="1"/>
  <c r="E24" i="1"/>
  <c r="F24" i="1"/>
  <c r="G24" i="1"/>
  <c r="E25" i="1"/>
  <c r="F25" i="1"/>
  <c r="G25" i="1"/>
  <c r="E26" i="1"/>
  <c r="F26" i="1"/>
  <c r="G26" i="1"/>
  <c r="E27" i="1"/>
  <c r="F27" i="1"/>
  <c r="G27" i="1"/>
  <c r="E23" i="1"/>
  <c r="F23" i="1"/>
  <c r="G23" i="1"/>
  <c r="Q21" i="1"/>
  <c r="Q22" i="1"/>
  <c r="Q24" i="1"/>
  <c r="Q25" i="1"/>
  <c r="Q26" i="1"/>
  <c r="Q27" i="1"/>
  <c r="C13" i="1"/>
  <c r="F12" i="1"/>
  <c r="F13" i="1" s="1"/>
  <c r="D14" i="1"/>
  <c r="D13" i="1"/>
  <c r="C14" i="1"/>
  <c r="C17" i="1"/>
  <c r="Q23" i="1"/>
  <c r="R23" i="1"/>
  <c r="I23" i="1"/>
  <c r="S22" i="1"/>
  <c r="J22" i="1"/>
  <c r="S27" i="1"/>
  <c r="J27" i="1"/>
  <c r="H21" i="1"/>
  <c r="S21" i="1"/>
  <c r="R26" i="1"/>
  <c r="J26" i="1"/>
  <c r="J25" i="1"/>
  <c r="S25" i="1"/>
  <c r="J24" i="1"/>
  <c r="R24" i="1"/>
  <c r="R19" i="1"/>
  <c r="E18" i="1"/>
  <c r="S19" i="1"/>
  <c r="E19" i="1"/>
  <c r="D12" i="1"/>
  <c r="D11" i="1"/>
  <c r="C11" i="1"/>
  <c r="P21" i="1" l="1"/>
  <c r="P24" i="1"/>
  <c r="P26" i="1"/>
  <c r="P22" i="1"/>
  <c r="P23" i="1"/>
  <c r="D15" i="1"/>
  <c r="C19" i="1" s="1"/>
  <c r="P25" i="1"/>
  <c r="P27" i="1"/>
  <c r="D16" i="1"/>
  <c r="D19" i="1" s="1"/>
  <c r="C12" i="1"/>
  <c r="C16" i="1" l="1"/>
  <c r="D18" i="1" s="1"/>
  <c r="O24" i="1"/>
  <c r="O26" i="1"/>
  <c r="C15" i="1"/>
  <c r="O22" i="1"/>
  <c r="O27" i="1"/>
  <c r="O25" i="1"/>
  <c r="O23" i="1"/>
  <c r="O21" i="1"/>
  <c r="C18" i="1" l="1"/>
  <c r="F14" i="1"/>
  <c r="F15" i="1" s="1"/>
</calcChain>
</file>

<file path=xl/sharedStrings.xml><?xml version="1.0" encoding="utf-8"?>
<sst xmlns="http://schemas.openxmlformats.org/spreadsheetml/2006/main" count="63" uniqueCount="49">
  <si>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</si>
  <si>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</si>
  <si>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</si>
  <si>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</si>
  <si>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</si>
  <si>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</si>
  <si>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</si>
  <si>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</si>
  <si>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</si>
  <si>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</si>
  <si>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</si>
  <si>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</si>
  <si>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</si>
  <si>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</si>
  <si>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</si>
  <si>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</si>
  <si>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</si>
  <si>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</si>
  <si>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</si>
  <si>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</si>
  <si>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</si>
  <si>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</si>
  <si>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</si>
  <si>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</si>
  <si>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</si>
  <si>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</si>
  <si>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na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</si>
  <si>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</si>
  <si>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</si>
  <si>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</si>
  <si>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</si>
  <si>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</si>
  <si>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</si>
  <si>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</si>
  <si>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</si>
  <si>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</si>
  <si>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</si>
  <si>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</si>
  <si>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</si>
  <si>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EA</t>
  </si>
  <si>
    <t>not avail.</t>
  </si>
  <si>
    <t>VSX</t>
  </si>
  <si>
    <t>[unknown]</t>
  </si>
  <si>
    <t>IBVS 6007</t>
  </si>
  <si>
    <t>II</t>
  </si>
  <si>
    <t>I</t>
  </si>
  <si>
    <t>KO Nor / GSC 8719-0163</t>
  </si>
  <si>
    <t>PE?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</si>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</sst>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5" fillId="0" borderId="0" xfId="0" applyFo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11" fillId="0" borderId="0" xfId="0" applyFont="1" applyAlignment="1"/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12" fillId="0" borderId="0" xfId="0" applyFont="1" applyAlignment="1">
      <alignment horizontal="center"/>
    </xf>
    <xf numFmtId="0" fontId="7" fillId="0" borderId="0" xfId="0" applyFont="1">
      <alignment vertical="top"/>
    </xf>
    <xf numFmtId="0" fontId="13" fillId="0" borderId="0" xfId="0" applyFont="1" applyAlignment="1">
      <alignment horizontal="center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3" fillId="0" borderId="0" xfId="0" applyFont="1">
      <alignment vertical="top"/>
    </xf>
    <xf numFmtId="0" fontId="12" fillId="0" borderId="0" xfId="0" applyFont="1" applyAlignment="1"/>
    <xf numFmtId="22" fontId="12" fillId="0" borderId="0" xfId="0" applyNumberFormat="1" applyFont="1">
      <alignment vertical="top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KO Nor - O-C Diagr.</a:t>
            </a:r>
          </a:p>
        </c:rich>
      </c:tx>
      <c:layout>
        <c:manualLayout>
          <c:xMode val="edge"/>
          <c:yMode val="edge"/>
          <c:x val="0.377419354838709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1612903225806455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[unknown]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1'!$D$21:$D$494</c:f>
                <c:numCache>
                  <c:formatCode>General</c:formatCode>
                  <c:ptCount val="474"/>
                  <c:pt idx="1">
                    <c:v>2.0469999999999999E-2</c:v>
                  </c:pt>
                  <c:pt idx="2">
                    <c:v>0</c:v>
                  </c:pt>
                  <c:pt idx="3">
                    <c:v>7.7200000000000003E-3</c:v>
                  </c:pt>
                  <c:pt idx="4">
                    <c:v>2.181E-2</c:v>
                  </c:pt>
                  <c:pt idx="5">
                    <c:v>1.678E-2</c:v>
                  </c:pt>
                  <c:pt idx="6">
                    <c:v>9.7300000000000008E-3</c:v>
                  </c:pt>
                </c:numCache>
              </c:numRef>
            </c:plus>
            <c:minus>
              <c:numRef>
                <c:f>'Active 1'!$D$21:$D$494</c:f>
                <c:numCache>
                  <c:formatCode>General</c:formatCode>
                  <c:ptCount val="474"/>
                  <c:pt idx="1">
                    <c:v>2.0469999999999999E-2</c:v>
                  </c:pt>
                  <c:pt idx="2">
                    <c:v>0</c:v>
                  </c:pt>
                  <c:pt idx="3">
                    <c:v>7.7200000000000003E-3</c:v>
                  </c:pt>
                  <c:pt idx="4">
                    <c:v>2.181E-2</c:v>
                  </c:pt>
                  <c:pt idx="5">
                    <c:v>1.678E-2</c:v>
                  </c:pt>
                  <c:pt idx="6">
                    <c:v>9.7300000000000008E-3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-497.5</c:v>
                </c:pt>
                <c:pt idx="1">
                  <c:v>-30.5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35</c:v>
                </c:pt>
                <c:pt idx="6">
                  <c:v>35.5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-1.0383650000003399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50-4A82-9676-601845CD3061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-497.5</c:v>
                </c:pt>
                <c:pt idx="1">
                  <c:v>-30.5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35</c:v>
                </c:pt>
                <c:pt idx="6">
                  <c:v>35.5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50-4A82-9676-601845CD3061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-497.5</c:v>
                </c:pt>
                <c:pt idx="1">
                  <c:v>-30.5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35</c:v>
                </c:pt>
                <c:pt idx="6">
                  <c:v>35.5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  <c:pt idx="1">
                  <c:v>-0.97495699999853969</c:v>
                </c:pt>
                <c:pt idx="3">
                  <c:v>2.1699999997508712E-3</c:v>
                </c:pt>
                <c:pt idx="4">
                  <c:v>-0.96693299999606097</c:v>
                </c:pt>
                <c:pt idx="5">
                  <c:v>-1.7899999947985634E-3</c:v>
                </c:pt>
                <c:pt idx="6">
                  <c:v>-0.98137300000234973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50-4A82-9676-601845CD3061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-497.5</c:v>
                </c:pt>
                <c:pt idx="1">
                  <c:v>-30.5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35</c:v>
                </c:pt>
                <c:pt idx="6">
                  <c:v>35.5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50-4A82-9676-601845CD3061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-497.5</c:v>
                </c:pt>
                <c:pt idx="1">
                  <c:v>-30.5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35</c:v>
                </c:pt>
                <c:pt idx="6">
                  <c:v>35.5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50-4A82-9676-601845CD306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-497.5</c:v>
                </c:pt>
                <c:pt idx="1">
                  <c:v>-30.5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35</c:v>
                </c:pt>
                <c:pt idx="6">
                  <c:v>35.5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50-4A82-9676-601845CD306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-497.5</c:v>
                </c:pt>
                <c:pt idx="1">
                  <c:v>-30.5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35</c:v>
                </c:pt>
                <c:pt idx="6">
                  <c:v>35.5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50-4A82-9676-601845CD3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029984"/>
        <c:axId val="1"/>
      </c:scatterChart>
      <c:valAx>
        <c:axId val="775029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1935483870972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1.1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029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225806451612905"/>
          <c:y val="0.92097264437689974"/>
          <c:w val="0.42903225806451606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KO Nor - O-C Diagr.</a:t>
            </a:r>
          </a:p>
        </c:rich>
      </c:tx>
      <c:layout>
        <c:manualLayout>
          <c:xMode val="edge"/>
          <c:yMode val="edge"/>
          <c:x val="0.377419354838709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1612903225806455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[unknown]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1'!$D$21:$D$494</c:f>
                <c:numCache>
                  <c:formatCode>General</c:formatCode>
                  <c:ptCount val="474"/>
                  <c:pt idx="1">
                    <c:v>2.0469999999999999E-2</c:v>
                  </c:pt>
                  <c:pt idx="2">
                    <c:v>0</c:v>
                  </c:pt>
                  <c:pt idx="3">
                    <c:v>7.7200000000000003E-3</c:v>
                  </c:pt>
                  <c:pt idx="4">
                    <c:v>2.181E-2</c:v>
                  </c:pt>
                  <c:pt idx="5">
                    <c:v>1.678E-2</c:v>
                  </c:pt>
                  <c:pt idx="6">
                    <c:v>9.7300000000000008E-3</c:v>
                  </c:pt>
                </c:numCache>
              </c:numRef>
            </c:plus>
            <c:minus>
              <c:numRef>
                <c:f>'Active 1'!$D$21:$D$494</c:f>
                <c:numCache>
                  <c:formatCode>General</c:formatCode>
                  <c:ptCount val="474"/>
                  <c:pt idx="1">
                    <c:v>2.0469999999999999E-2</c:v>
                  </c:pt>
                  <c:pt idx="2">
                    <c:v>0</c:v>
                  </c:pt>
                  <c:pt idx="3">
                    <c:v>7.7200000000000003E-3</c:v>
                  </c:pt>
                  <c:pt idx="4">
                    <c:v>2.181E-2</c:v>
                  </c:pt>
                  <c:pt idx="5">
                    <c:v>1.678E-2</c:v>
                  </c:pt>
                  <c:pt idx="6">
                    <c:v>9.7300000000000008E-3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-497.5</c:v>
                </c:pt>
                <c:pt idx="1">
                  <c:v>-30.5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35</c:v>
                </c:pt>
                <c:pt idx="6">
                  <c:v>35.5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-1.0383650000003399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EC-4628-9B16-F56D17805CC5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-497.5</c:v>
                </c:pt>
                <c:pt idx="1">
                  <c:v>-30.5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35</c:v>
                </c:pt>
                <c:pt idx="6">
                  <c:v>35.5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EC-4628-9B16-F56D17805CC5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-497.5</c:v>
                </c:pt>
                <c:pt idx="1">
                  <c:v>-30.5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35</c:v>
                </c:pt>
                <c:pt idx="6">
                  <c:v>35.5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  <c:pt idx="1">
                  <c:v>-0.97495699999853969</c:v>
                </c:pt>
                <c:pt idx="3">
                  <c:v>2.1699999997508712E-3</c:v>
                </c:pt>
                <c:pt idx="4">
                  <c:v>-0.96693299999606097</c:v>
                </c:pt>
                <c:pt idx="5">
                  <c:v>-1.7899999947985634E-3</c:v>
                </c:pt>
                <c:pt idx="6">
                  <c:v>-0.98137300000234973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EC-4628-9B16-F56D17805CC5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-497.5</c:v>
                </c:pt>
                <c:pt idx="1">
                  <c:v>-30.5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35</c:v>
                </c:pt>
                <c:pt idx="6">
                  <c:v>35.5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EC-4628-9B16-F56D17805CC5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-497.5</c:v>
                </c:pt>
                <c:pt idx="1">
                  <c:v>-30.5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35</c:v>
                </c:pt>
                <c:pt idx="6">
                  <c:v>35.5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EC-4628-9B16-F56D17805CC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-497.5</c:v>
                </c:pt>
                <c:pt idx="1">
                  <c:v>-30.5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35</c:v>
                </c:pt>
                <c:pt idx="6">
                  <c:v>35.5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EC-4628-9B16-F56D17805CC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-497.5</c:v>
                </c:pt>
                <c:pt idx="1">
                  <c:v>-30.5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35</c:v>
                </c:pt>
                <c:pt idx="6">
                  <c:v>35.5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EC-4628-9B16-F56D17805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029984"/>
        <c:axId val="1"/>
      </c:scatterChart>
      <c:valAx>
        <c:axId val="775029984"/>
        <c:scaling>
          <c:orientation val="minMax"/>
          <c:min val="-3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1935483870972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029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225806451612905"/>
          <c:y val="0.92097264437689974"/>
          <c:w val="0.42903225806451606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KO Nor - Prim. O-C Diagr.</a:t>
            </a:r>
          </a:p>
        </c:rich>
      </c:tx>
      <c:layout>
        <c:manualLayout>
          <c:xMode val="edge"/>
          <c:yMode val="edge"/>
          <c:x val="0.2993765176442341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11037705299127"/>
          <c:y val="0.14634168126798494"/>
          <c:w val="0.75675752496987581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-497.5</c:v>
                </c:pt>
                <c:pt idx="1">
                  <c:v>-30.5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35</c:v>
                </c:pt>
                <c:pt idx="6">
                  <c:v>35.5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2">
                  <c:v>0</c:v>
                </c:pt>
                <c:pt idx="3">
                  <c:v>2.1699999997508712E-3</c:v>
                </c:pt>
                <c:pt idx="5">
                  <c:v>-1.7899999947985634E-3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77-46A3-BFCD-7137E5C2DE08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-497.5</c:v>
                </c:pt>
                <c:pt idx="1">
                  <c:v>-30.5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35</c:v>
                </c:pt>
                <c:pt idx="6">
                  <c:v>35.5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4.1951071352741565E-2</c:v>
                </c:pt>
                <c:pt idx="1">
                  <c:v>3.5903571380913493E-3</c:v>
                </c:pt>
                <c:pt idx="2">
                  <c:v>1.0849999998754356E-3</c:v>
                </c:pt>
                <c:pt idx="3">
                  <c:v>1.0849999998754356E-3</c:v>
                </c:pt>
                <c:pt idx="4">
                  <c:v>1.0439285713800927E-3</c:v>
                </c:pt>
                <c:pt idx="5">
                  <c:v>-1.7899999947985634E-3</c:v>
                </c:pt>
                <c:pt idx="6">
                  <c:v>-1.8310714232939065E-3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77-46A3-BFCD-7137E5C2D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040784"/>
        <c:axId val="1"/>
      </c:scatterChart>
      <c:valAx>
        <c:axId val="775040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38297291840598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040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580085233628539"/>
          <c:y val="0.92073298764483702"/>
          <c:w val="0.30353452180223839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KO Nor - Sec. O-C Diagr.</a:t>
            </a:r>
          </a:p>
        </c:rich>
      </c:tx>
      <c:layout>
        <c:manualLayout>
          <c:xMode val="edge"/>
          <c:yMode val="edge"/>
          <c:x val="0.3081634795650543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13"/>
          <c:y val="0.1458966565349544"/>
          <c:w val="0.77347015851219558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-497.5</c:v>
                </c:pt>
                <c:pt idx="1">
                  <c:v>-30.5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35</c:v>
                </c:pt>
                <c:pt idx="6">
                  <c:v>35.5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0">
                  <c:v>-1.0383650000003399</c:v>
                </c:pt>
                <c:pt idx="1">
                  <c:v>-0.97495699999853969</c:v>
                </c:pt>
                <c:pt idx="4">
                  <c:v>-0.96693299999606097</c:v>
                </c:pt>
                <c:pt idx="6">
                  <c:v>-0.98137300000234973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FF-41E9-BC24-01A9EF476DA0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-497.5</c:v>
                </c:pt>
                <c:pt idx="1">
                  <c:v>-30.5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35</c:v>
                </c:pt>
                <c:pt idx="6">
                  <c:v>35.5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-1.0373634138999837</c:v>
                </c:pt>
                <c:pt idx="1">
                  <c:v>-0.97880895384228339</c:v>
                </c:pt>
                <c:pt idx="2">
                  <c:v>-0.97498473321752999</c:v>
                </c:pt>
                <c:pt idx="3">
                  <c:v>-0.97498473321752999</c:v>
                </c:pt>
                <c:pt idx="4">
                  <c:v>-0.97492204107614056</c:v>
                </c:pt>
                <c:pt idx="5">
                  <c:v>-0.97059628332027192</c:v>
                </c:pt>
                <c:pt idx="6">
                  <c:v>-0.97053359117888249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FF-41E9-BC24-01A9EF476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039344"/>
        <c:axId val="1"/>
      </c:scatterChart>
      <c:valAx>
        <c:axId val="775039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57185708929244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039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183716321174139"/>
          <c:y val="0.92097264437689974"/>
          <c:w val="0.3306126734158230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314326</xdr:colOff>
      <xdr:row>18</xdr:row>
      <xdr:rowOff>104775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9D5BDF88-033D-CA46-5A60-1AF92AE345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361950</xdr:colOff>
      <xdr:row>0</xdr:row>
      <xdr:rowOff>0</xdr:rowOff>
    </xdr:from>
    <xdr:to>
      <xdr:col>27</xdr:col>
      <xdr:colOff>28576</xdr:colOff>
      <xdr:row>18</xdr:row>
      <xdr:rowOff>104775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95A7161-C90C-4C88-ADE2-B2BB0E93FF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12</xdr:col>
      <xdr:colOff>542925</xdr:colOff>
      <xdr:row>21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0BFA86-0057-F163-8A72-0272A3213E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21</xdr:row>
      <xdr:rowOff>114300</xdr:rowOff>
    </xdr:from>
    <xdr:to>
      <xdr:col>13</xdr:col>
      <xdr:colOff>0</xdr:colOff>
      <xdr:row>42</xdr:row>
      <xdr:rowOff>104775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FC3ABAF2-8760-74E5-7CB2-5B97E93BAF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7.1406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46</v>
      </c>
    </row>
    <row r="2" spans="1:6" ht="12.95" customHeight="1" x14ac:dyDescent="0.2">
      <c r="A2" t="s">
        <v>16</v>
      </c>
      <c r="B2" t="s">
        <v>39</v>
      </c>
    </row>
    <row r="3" spans="1:6" ht="12.95" customHeight="1" thickBot="1" x14ac:dyDescent="0.25">
      <c r="C3" s="10"/>
    </row>
    <row r="4" spans="1:6" ht="12.95" customHeight="1" thickTop="1" thickBot="1" x14ac:dyDescent="0.25">
      <c r="A4" s="6" t="s">
        <v>0</v>
      </c>
      <c r="C4" s="37" t="s">
        <v>40</v>
      </c>
      <c r="D4" s="38" t="s">
        <v>40</v>
      </c>
    </row>
    <row r="5" spans="1:6" ht="12.95" customHeight="1" thickTop="1" x14ac:dyDescent="0.2">
      <c r="A5" s="30" t="s">
        <v>31</v>
      </c>
      <c r="B5" s="24"/>
      <c r="C5" s="31">
        <v>-9.5</v>
      </c>
      <c r="D5" s="24" t="s">
        <v>32</v>
      </c>
    </row>
    <row r="6" spans="1:6" ht="12.95" customHeight="1" x14ac:dyDescent="0.2">
      <c r="A6" s="6" t="s">
        <v>1</v>
      </c>
    </row>
    <row r="7" spans="1:6" ht="12.95" customHeight="1" x14ac:dyDescent="0.2">
      <c r="A7" t="s">
        <v>2</v>
      </c>
      <c r="C7" s="43">
        <v>53486.550999999999</v>
      </c>
      <c r="D7" s="39" t="s">
        <v>41</v>
      </c>
    </row>
    <row r="8" spans="1:6" ht="12.95" customHeight="1" x14ac:dyDescent="0.2">
      <c r="A8" t="s">
        <v>3</v>
      </c>
      <c r="C8" s="43">
        <v>33.562145999999998</v>
      </c>
      <c r="D8" s="39" t="s">
        <v>41</v>
      </c>
    </row>
    <row r="9" spans="1:6" ht="12.95" customHeight="1" x14ac:dyDescent="0.2">
      <c r="A9" s="22" t="s">
        <v>28</v>
      </c>
      <c r="B9" s="22"/>
      <c r="C9" s="23">
        <v>21</v>
      </c>
      <c r="D9" s="23">
        <v>21</v>
      </c>
    </row>
    <row r="10" spans="1:6" ht="12.95" customHeight="1" thickBot="1" x14ac:dyDescent="0.25">
      <c r="A10" s="24"/>
      <c r="B10" s="24"/>
      <c r="C10" s="5" t="s">
        <v>18</v>
      </c>
      <c r="D10" s="5" t="s">
        <v>19</v>
      </c>
    </row>
    <row r="11" spans="1:6" ht="12.95" customHeight="1" x14ac:dyDescent="0.2">
      <c r="A11" s="24" t="s">
        <v>13</v>
      </c>
      <c r="B11" s="24"/>
      <c r="C11" s="25">
        <f ca="1">INTERCEPT(INDIRECT(C14):R$935,INDIRECT(C13):$F$935)</f>
        <v>1.0849999998754356E-3</v>
      </c>
      <c r="D11" s="25">
        <f ca="1">INTERCEPT(INDIRECT(D14):S$935,INDIRECT(D13):$F$935)</f>
        <v>-0.97498473321752999</v>
      </c>
      <c r="E11" s="22" t="s">
        <v>34</v>
      </c>
      <c r="F11">
        <v>1</v>
      </c>
    </row>
    <row r="12" spans="1:6" ht="12.95" customHeight="1" x14ac:dyDescent="0.2">
      <c r="A12" s="24" t="s">
        <v>14</v>
      </c>
      <c r="B12" s="24"/>
      <c r="C12" s="25">
        <f ca="1">SLOPE(INDIRECT(C14):R$935,INDIRECT(C13):$F$935)</f>
        <v>-8.2142856990685692E-5</v>
      </c>
      <c r="D12" s="25">
        <f ca="1">SLOPE(INDIRECT(D14):S$935,INDIRECT(D13):$F$935)</f>
        <v>1.2538428277880138E-4</v>
      </c>
      <c r="E12" s="22" t="s">
        <v>35</v>
      </c>
      <c r="F12" s="32">
        <f ca="1">NOW()+15018.5+$C$5/24</f>
        <v>60365.787671759259</v>
      </c>
    </row>
    <row r="13" spans="1:6" ht="12.95" customHeight="1" x14ac:dyDescent="0.2">
      <c r="A13" s="22" t="s">
        <v>29</v>
      </c>
      <c r="B13" s="22"/>
      <c r="C13" s="23" t="str">
        <f>"F"&amp;C9</f>
        <v>F21</v>
      </c>
      <c r="D13" s="23" t="str">
        <f>"F"&amp;D9</f>
        <v>F21</v>
      </c>
      <c r="E13" s="22" t="s">
        <v>36</v>
      </c>
      <c r="F13" s="32">
        <f ca="1">ROUND(2*(F12-$C$7)/$C$8,0)/2+F11</f>
        <v>206</v>
      </c>
    </row>
    <row r="14" spans="1:6" ht="12.95" customHeight="1" x14ac:dyDescent="0.2">
      <c r="A14" s="22" t="s">
        <v>30</v>
      </c>
      <c r="B14" s="22"/>
      <c r="C14" s="23" t="str">
        <f>"R"&amp;C9</f>
        <v>R21</v>
      </c>
      <c r="D14" s="23" t="str">
        <f>"S"&amp;D9</f>
        <v>S21</v>
      </c>
      <c r="E14" s="22" t="s">
        <v>37</v>
      </c>
      <c r="F14" s="33">
        <f ca="1">ROUND(2*(F12-$C$15)/$C$16,0)/2+F11</f>
        <v>171</v>
      </c>
    </row>
    <row r="15" spans="1:6" ht="12.95" customHeight="1" x14ac:dyDescent="0.2">
      <c r="A15" s="26" t="s">
        <v>15</v>
      </c>
      <c r="B15" s="24"/>
      <c r="C15" s="27">
        <f ca="1">($C7+C11)+($C8+C12)*INT(MAX($F21:$F3533))</f>
        <v>54661.224320000008</v>
      </c>
      <c r="D15" s="27">
        <f ca="1">($C7+D11)+($C8+D12)*INT(MAX($F21:$F3533))</f>
        <v>54660.255513716678</v>
      </c>
      <c r="E15" s="22" t="s">
        <v>38</v>
      </c>
      <c r="F15" s="34">
        <f ca="1">+$C$15+$C$16*F14-15018.5-$C$5/24</f>
        <v>45382.233072904797</v>
      </c>
    </row>
    <row r="16" spans="1:6" ht="12.95" customHeight="1" x14ac:dyDescent="0.2">
      <c r="A16" s="28" t="s">
        <v>4</v>
      </c>
      <c r="B16" s="24"/>
      <c r="C16" s="29">
        <f ca="1">+$C8+C12</f>
        <v>33.562063857143009</v>
      </c>
      <c r="D16" s="25">
        <f ca="1">+$C8+D12</f>
        <v>33.562271384282781</v>
      </c>
      <c r="E16" s="35"/>
      <c r="F16" s="35" t="s">
        <v>33</v>
      </c>
    </row>
    <row r="17" spans="1:19" ht="12.95" customHeight="1" thickBot="1" x14ac:dyDescent="0.25">
      <c r="A17" s="21" t="s">
        <v>27</v>
      </c>
      <c r="C17">
        <f>COUNT(C21:C1247)</f>
        <v>7</v>
      </c>
    </row>
    <row r="18" spans="1:19" ht="12.95" customHeight="1" thickTop="1" thickBot="1" x14ac:dyDescent="0.25">
      <c r="A18" s="6" t="s">
        <v>21</v>
      </c>
      <c r="C18" s="3">
        <f ca="1">+C15</f>
        <v>54661.224320000008</v>
      </c>
      <c r="D18" s="4">
        <f ca="1">+C16</f>
        <v>33.562063857143009</v>
      </c>
      <c r="E18" s="36">
        <f>R19</f>
        <v>3</v>
      </c>
    </row>
    <row r="19" spans="1:19" ht="12.95" customHeight="1" thickTop="1" thickBot="1" x14ac:dyDescent="0.25">
      <c r="A19" s="6" t="s">
        <v>22</v>
      </c>
      <c r="C19" s="3">
        <f ca="1">+D15</f>
        <v>54660.255513716678</v>
      </c>
      <c r="D19" s="4">
        <f ca="1">+D16</f>
        <v>33.562271384282781</v>
      </c>
      <c r="E19" s="36">
        <f>S19</f>
        <v>4</v>
      </c>
      <c r="R19">
        <f>COUNT(R21:R322)</f>
        <v>3</v>
      </c>
      <c r="S19">
        <f>COUNT(S21:S322)</f>
        <v>4</v>
      </c>
    </row>
    <row r="20" spans="1:19" ht="12.95" customHeight="1" thickTop="1" thickBot="1" x14ac:dyDescent="0.25">
      <c r="A20" s="5" t="s">
        <v>5</v>
      </c>
      <c r="B20" s="5" t="s">
        <v>6</v>
      </c>
      <c r="C20" s="5" t="s">
        <v>7</v>
      </c>
      <c r="D20" s="5" t="s">
        <v>11</v>
      </c>
      <c r="E20" s="5" t="s">
        <v>8</v>
      </c>
      <c r="F20" s="5" t="s">
        <v>9</v>
      </c>
      <c r="G20" s="5" t="s">
        <v>10</v>
      </c>
      <c r="H20" s="8" t="s">
        <v>42</v>
      </c>
      <c r="I20" s="8" t="s">
        <v>41</v>
      </c>
      <c r="J20" s="8" t="s">
        <v>47</v>
      </c>
      <c r="K20" s="8" t="s">
        <v>48</v>
      </c>
      <c r="L20" s="8" t="s">
        <v>25</v>
      </c>
      <c r="M20" s="8" t="s">
        <v>17</v>
      </c>
      <c r="N20" s="8" t="s">
        <v>20</v>
      </c>
      <c r="O20" s="8" t="s">
        <v>23</v>
      </c>
      <c r="P20" s="7" t="s">
        <v>24</v>
      </c>
      <c r="Q20" s="5" t="s">
        <v>12</v>
      </c>
      <c r="R20" s="9" t="s">
        <v>18</v>
      </c>
      <c r="S20" s="9" t="s">
        <v>19</v>
      </c>
    </row>
    <row r="21" spans="1:19" ht="12.95" customHeight="1" x14ac:dyDescent="0.2">
      <c r="A21" t="s">
        <v>42</v>
      </c>
      <c r="C21" s="15">
        <v>36788.345000000001</v>
      </c>
      <c r="D21" s="15"/>
      <c r="E21">
        <f t="shared" ref="E21:E27" si="0">+(C21-C$7)/C$8</f>
        <v>-497.53093857585861</v>
      </c>
      <c r="F21">
        <f t="shared" ref="F21:F27" si="1">ROUND(2*E21,0)/2</f>
        <v>-497.5</v>
      </c>
      <c r="G21">
        <f t="shared" ref="G21:G27" si="2">+C21-(C$7+F21*C$8)</f>
        <v>-1.0383650000003399</v>
      </c>
      <c r="H21">
        <f>+G21</f>
        <v>-1.0383650000003399</v>
      </c>
      <c r="O21">
        <f t="shared" ref="O21:P27" ca="1" si="3">+C$11+C$12*$F21</f>
        <v>4.1951071352741565E-2</v>
      </c>
      <c r="P21">
        <f t="shared" ca="1" si="3"/>
        <v>-1.0373634138999837</v>
      </c>
      <c r="Q21" s="2">
        <f t="shared" ref="Q21:Q27" si="4">+C21-15018.5</f>
        <v>21769.845000000001</v>
      </c>
      <c r="S21">
        <f>G21</f>
        <v>-1.0383650000003399</v>
      </c>
    </row>
    <row r="22" spans="1:19" ht="12.95" customHeight="1" x14ac:dyDescent="0.2">
      <c r="A22" s="40" t="s">
        <v>43</v>
      </c>
      <c r="B22" s="41" t="s">
        <v>44</v>
      </c>
      <c r="C22" s="42">
        <v>52461.930590000004</v>
      </c>
      <c r="D22" s="40">
        <v>2.0469999999999999E-2</v>
      </c>
      <c r="E22">
        <f t="shared" si="0"/>
        <v>-30.529049304534816</v>
      </c>
      <c r="F22">
        <f t="shared" si="1"/>
        <v>-30.5</v>
      </c>
      <c r="G22">
        <f t="shared" si="2"/>
        <v>-0.97495699999853969</v>
      </c>
      <c r="J22">
        <f>+G22</f>
        <v>-0.97495699999853969</v>
      </c>
      <c r="O22">
        <f t="shared" ca="1" si="3"/>
        <v>3.5903571380913493E-3</v>
      </c>
      <c r="P22">
        <f t="shared" ca="1" si="3"/>
        <v>-0.97880895384228339</v>
      </c>
      <c r="Q22" s="2">
        <f t="shared" si="4"/>
        <v>37443.430590000004</v>
      </c>
      <c r="S22">
        <f>G22</f>
        <v>-0.97495699999853969</v>
      </c>
    </row>
    <row r="23" spans="1:19" ht="12.95" customHeight="1" x14ac:dyDescent="0.2">
      <c r="A23" t="s">
        <v>41</v>
      </c>
      <c r="C23" s="15">
        <v>53486.550999999999</v>
      </c>
      <c r="D23" s="15" t="s">
        <v>26</v>
      </c>
      <c r="E23">
        <f t="shared" si="0"/>
        <v>0</v>
      </c>
      <c r="F23">
        <f t="shared" si="1"/>
        <v>0</v>
      </c>
      <c r="G23">
        <f t="shared" si="2"/>
        <v>0</v>
      </c>
      <c r="I23">
        <f>+G23</f>
        <v>0</v>
      </c>
      <c r="O23">
        <f t="shared" ca="1" si="3"/>
        <v>1.0849999998754356E-3</v>
      </c>
      <c r="P23">
        <f t="shared" ca="1" si="3"/>
        <v>-0.97498473321752999</v>
      </c>
      <c r="Q23" s="2">
        <f t="shared" si="4"/>
        <v>38468.050999999999</v>
      </c>
      <c r="R23">
        <f>G23</f>
        <v>0</v>
      </c>
    </row>
    <row r="24" spans="1:19" ht="12.95" customHeight="1" x14ac:dyDescent="0.2">
      <c r="A24" s="40" t="s">
        <v>43</v>
      </c>
      <c r="B24" s="41" t="s">
        <v>45</v>
      </c>
      <c r="C24" s="40">
        <v>53486.553169999999</v>
      </c>
      <c r="D24" s="40">
        <v>7.7200000000000003E-3</v>
      </c>
      <c r="E24">
        <f t="shared" si="0"/>
        <v>6.465617543499368E-5</v>
      </c>
      <c r="F24">
        <f t="shared" si="1"/>
        <v>0</v>
      </c>
      <c r="G24">
        <f t="shared" si="2"/>
        <v>2.1699999997508712E-3</v>
      </c>
      <c r="J24">
        <f>+G24</f>
        <v>2.1699999997508712E-3</v>
      </c>
      <c r="O24">
        <f t="shared" ca="1" si="3"/>
        <v>1.0849999998754356E-3</v>
      </c>
      <c r="P24">
        <f t="shared" ca="1" si="3"/>
        <v>-0.97498473321752999</v>
      </c>
      <c r="Q24" s="2">
        <f t="shared" si="4"/>
        <v>38468.053169999999</v>
      </c>
      <c r="R24">
        <f>G24</f>
        <v>2.1699999997508712E-3</v>
      </c>
    </row>
    <row r="25" spans="1:19" ht="12.95" customHeight="1" x14ac:dyDescent="0.2">
      <c r="A25" s="40" t="s">
        <v>43</v>
      </c>
      <c r="B25" s="41" t="s">
        <v>44</v>
      </c>
      <c r="C25" s="40">
        <v>53502.365140000002</v>
      </c>
      <c r="D25" s="40">
        <v>2.181E-2</v>
      </c>
      <c r="E25">
        <f t="shared" si="0"/>
        <v>0.47118977433690407</v>
      </c>
      <c r="F25">
        <f t="shared" si="1"/>
        <v>0.5</v>
      </c>
      <c r="G25">
        <f t="shared" si="2"/>
        <v>-0.96693299999606097</v>
      </c>
      <c r="J25">
        <f>+G25</f>
        <v>-0.96693299999606097</v>
      </c>
      <c r="O25">
        <f t="shared" ca="1" si="3"/>
        <v>1.0439285713800927E-3</v>
      </c>
      <c r="P25">
        <f t="shared" ca="1" si="3"/>
        <v>-0.97492204107614056</v>
      </c>
      <c r="Q25" s="2">
        <f t="shared" si="4"/>
        <v>38483.865140000002</v>
      </c>
      <c r="S25">
        <f>G25</f>
        <v>-0.96693299999606097</v>
      </c>
    </row>
    <row r="26" spans="1:19" ht="12.95" customHeight="1" x14ac:dyDescent="0.2">
      <c r="A26" s="40" t="s">
        <v>43</v>
      </c>
      <c r="B26" s="41" t="s">
        <v>45</v>
      </c>
      <c r="C26" s="40">
        <v>54661.224320000001</v>
      </c>
      <c r="D26" s="40">
        <v>1.678E-2</v>
      </c>
      <c r="E26">
        <f t="shared" si="0"/>
        <v>34.999946666104179</v>
      </c>
      <c r="F26">
        <f t="shared" si="1"/>
        <v>35</v>
      </c>
      <c r="G26">
        <f t="shared" si="2"/>
        <v>-1.7899999947985634E-3</v>
      </c>
      <c r="J26">
        <f>+G26</f>
        <v>-1.7899999947985634E-3</v>
      </c>
      <c r="O26">
        <f t="shared" ca="1" si="3"/>
        <v>-1.7899999947985634E-3</v>
      </c>
      <c r="P26">
        <f t="shared" ca="1" si="3"/>
        <v>-0.97059628332027192</v>
      </c>
      <c r="Q26" s="2">
        <f t="shared" si="4"/>
        <v>39642.724320000001</v>
      </c>
      <c r="R26">
        <f>G26</f>
        <v>-1.7899999947985634E-3</v>
      </c>
    </row>
    <row r="27" spans="1:19" ht="12.95" customHeight="1" x14ac:dyDescent="0.2">
      <c r="A27" s="40" t="s">
        <v>43</v>
      </c>
      <c r="B27" s="41" t="s">
        <v>44</v>
      </c>
      <c r="C27" s="40">
        <v>54677.025809999999</v>
      </c>
      <c r="D27" s="40">
        <v>9.7300000000000008E-3</v>
      </c>
      <c r="E27">
        <f t="shared" si="0"/>
        <v>35.470759527713149</v>
      </c>
      <c r="F27">
        <f t="shared" si="1"/>
        <v>35.5</v>
      </c>
      <c r="G27">
        <f t="shared" si="2"/>
        <v>-0.98137300000234973</v>
      </c>
      <c r="J27">
        <f>+G27</f>
        <v>-0.98137300000234973</v>
      </c>
      <c r="O27">
        <f t="shared" ca="1" si="3"/>
        <v>-1.8310714232939065E-3</v>
      </c>
      <c r="P27">
        <f t="shared" ca="1" si="3"/>
        <v>-0.97053359117888249</v>
      </c>
      <c r="Q27" s="2">
        <f t="shared" si="4"/>
        <v>39658.525809999999</v>
      </c>
      <c r="S27">
        <f>G27</f>
        <v>-0.98137300000234973</v>
      </c>
    </row>
    <row r="28" spans="1:19" ht="12.95" customHeight="1" x14ac:dyDescent="0.2">
      <c r="A28" s="11"/>
      <c r="B28" s="11"/>
      <c r="C28" s="12"/>
      <c r="D28" s="12"/>
      <c r="Q28" s="2"/>
    </row>
    <row r="29" spans="1:19" ht="12.95" customHeight="1" x14ac:dyDescent="0.2">
      <c r="A29" s="16"/>
      <c r="B29" s="17"/>
      <c r="C29" s="18"/>
      <c r="D29" s="18"/>
      <c r="Q29" s="2"/>
    </row>
    <row r="30" spans="1:19" ht="12.95" customHeight="1" x14ac:dyDescent="0.2">
      <c r="A30" s="13"/>
      <c r="B30" s="14"/>
      <c r="C30" s="12"/>
      <c r="D30" s="15"/>
      <c r="Q30" s="2"/>
    </row>
    <row r="31" spans="1:19" ht="12.95" customHeight="1" x14ac:dyDescent="0.2">
      <c r="A31" s="16"/>
      <c r="B31" s="19"/>
      <c r="C31" s="12"/>
      <c r="D31" s="12"/>
      <c r="Q31" s="2"/>
    </row>
    <row r="32" spans="1:19" ht="12.95" customHeight="1" x14ac:dyDescent="0.2">
      <c r="A32" s="16"/>
      <c r="B32" s="19"/>
      <c r="C32" s="12"/>
      <c r="D32" s="12"/>
      <c r="Q32" s="2"/>
    </row>
    <row r="33" spans="1:17" ht="12.95" customHeight="1" x14ac:dyDescent="0.2">
      <c r="A33" s="20"/>
      <c r="B33" s="14"/>
      <c r="C33" s="12"/>
      <c r="D33" s="15"/>
      <c r="Q33" s="2"/>
    </row>
    <row r="34" spans="1:17" ht="12.95" customHeight="1" x14ac:dyDescent="0.2">
      <c r="A34" s="20"/>
      <c r="B34" s="14"/>
      <c r="C34" s="12"/>
      <c r="D34" s="15"/>
      <c r="Q34" s="2"/>
    </row>
    <row r="35" spans="1:17" ht="12.95" customHeight="1" x14ac:dyDescent="0.2">
      <c r="A35" s="20"/>
      <c r="B35" s="14"/>
      <c r="C35" s="12"/>
      <c r="D35" s="15"/>
      <c r="Q35" s="2"/>
    </row>
    <row r="36" spans="1:17" ht="12.95" customHeight="1" x14ac:dyDescent="0.2"/>
    <row r="37" spans="1:17" ht="12.95" customHeight="1" x14ac:dyDescent="0.2"/>
    <row r="38" spans="1:17" ht="12.95" customHeight="1" x14ac:dyDescent="0.2"/>
    <row r="39" spans="1:17" ht="12.95" customHeight="1" x14ac:dyDescent="0.2"/>
    <row r="40" spans="1:17" ht="12.95" customHeight="1" x14ac:dyDescent="0.2"/>
    <row r="41" spans="1:17" ht="12.95" customHeight="1" x14ac:dyDescent="0.2"/>
    <row r="42" spans="1:17" ht="12.95" customHeight="1" x14ac:dyDescent="0.2"/>
    <row r="43" spans="1:17" ht="12.95" customHeight="1" x14ac:dyDescent="0.2"/>
    <row r="44" spans="1:17" ht="12.95" customHeight="1" x14ac:dyDescent="0.2"/>
    <row r="45" spans="1:17" ht="12.95" customHeight="1" x14ac:dyDescent="0.2"/>
    <row r="46" spans="1:17" ht="12.95" customHeight="1" x14ac:dyDescent="0.2"/>
    <row r="47" spans="1:17" ht="12.95" customHeight="1" x14ac:dyDescent="0.2"/>
    <row r="48" spans="1:17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2024-02-25T05:54:14Z</dcterms:modified>
</cp:coreProperties>
</file>