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FD497E-7483-40E0-99AA-F5116E71E6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6" i="1"/>
  <c r="Q47" i="1"/>
  <c r="Q48" i="1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9" i="1"/>
  <c r="C7" i="1"/>
  <c r="E48" i="1" s="1"/>
  <c r="F48" i="1" s="1"/>
  <c r="G48" i="1" s="1"/>
  <c r="K48" i="1" s="1"/>
  <c r="E21" i="1"/>
  <c r="F21" i="1" s="1"/>
  <c r="G21" i="1" s="1"/>
  <c r="K21" i="1" s="1"/>
  <c r="C8" i="1"/>
  <c r="F17" i="1"/>
  <c r="C17" i="1"/>
  <c r="Q44" i="1"/>
  <c r="E13" i="2"/>
  <c r="E31" i="1"/>
  <c r="E21" i="2" s="1"/>
  <c r="E23" i="1"/>
  <c r="F23" i="1"/>
  <c r="G23" i="1" s="1"/>
  <c r="K23" i="1" s="1"/>
  <c r="E45" i="1"/>
  <c r="F45" i="1" s="1"/>
  <c r="G45" i="1" s="1"/>
  <c r="K45" i="1" s="1"/>
  <c r="E36" i="1"/>
  <c r="E26" i="2" s="1"/>
  <c r="E44" i="1"/>
  <c r="F44" i="1" s="1"/>
  <c r="G44" i="1" s="1"/>
  <c r="H44" i="1" s="1"/>
  <c r="E49" i="1"/>
  <c r="F49" i="1" s="1"/>
  <c r="G49" i="1" s="1"/>
  <c r="I49" i="1" s="1"/>
  <c r="E41" i="1"/>
  <c r="E31" i="2" s="1"/>
  <c r="E47" i="1"/>
  <c r="F47" i="1"/>
  <c r="G47" i="1" s="1"/>
  <c r="K47" i="1" s="1"/>
  <c r="E38" i="1"/>
  <c r="F38" i="1" s="1"/>
  <c r="G38" i="1" s="1"/>
  <c r="K38" i="1" s="1"/>
  <c r="E22" i="1"/>
  <c r="F22" i="1" s="1"/>
  <c r="G22" i="1" s="1"/>
  <c r="K22" i="1" s="1"/>
  <c r="E35" i="1"/>
  <c r="E25" i="2" s="1"/>
  <c r="F35" i="1"/>
  <c r="E27" i="1"/>
  <c r="F27" i="1" s="1"/>
  <c r="G27" i="1" s="1"/>
  <c r="K27" i="1" s="1"/>
  <c r="E40" i="1"/>
  <c r="F40" i="1" s="1"/>
  <c r="G40" i="1" s="1"/>
  <c r="K40" i="1" s="1"/>
  <c r="E46" i="1"/>
  <c r="E35" i="2" s="1"/>
  <c r="F46" i="1"/>
  <c r="G46" i="1" s="1"/>
  <c r="K46" i="1" s="1"/>
  <c r="E37" i="1"/>
  <c r="F37" i="1" s="1"/>
  <c r="G37" i="1" s="1"/>
  <c r="K37" i="1" s="1"/>
  <c r="E29" i="1"/>
  <c r="F29" i="1" s="1"/>
  <c r="G29" i="1" s="1"/>
  <c r="K29" i="1" s="1"/>
  <c r="E34" i="1"/>
  <c r="E24" i="2" s="1"/>
  <c r="E26" i="1"/>
  <c r="E16" i="2" s="1"/>
  <c r="F26" i="1"/>
  <c r="G26" i="1" s="1"/>
  <c r="K26" i="1" s="1"/>
  <c r="E17" i="2"/>
  <c r="E12" i="2"/>
  <c r="E36" i="2"/>
  <c r="E38" i="2"/>
  <c r="E28" i="2" l="1"/>
  <c r="E30" i="2"/>
  <c r="F41" i="1"/>
  <c r="G41" i="1" s="1"/>
  <c r="K41" i="1" s="1"/>
  <c r="E19" i="2"/>
  <c r="E11" i="2"/>
  <c r="F34" i="1"/>
  <c r="U34" i="1" s="1"/>
  <c r="E24" i="1"/>
  <c r="E14" i="2" s="1"/>
  <c r="E43" i="1"/>
  <c r="E25" i="1"/>
  <c r="F25" i="1" s="1"/>
  <c r="G25" i="1" s="1"/>
  <c r="K25" i="1" s="1"/>
  <c r="F31" i="1"/>
  <c r="U31" i="1" s="1"/>
  <c r="E42" i="1"/>
  <c r="E32" i="1"/>
  <c r="E30" i="1"/>
  <c r="F30" i="1" s="1"/>
  <c r="U30" i="1" s="1"/>
  <c r="E33" i="1"/>
  <c r="E28" i="1"/>
  <c r="E39" i="1"/>
  <c r="E34" i="2"/>
  <c r="G35" i="1"/>
  <c r="K35" i="1" s="1"/>
  <c r="F36" i="1"/>
  <c r="G36" i="1" s="1"/>
  <c r="K36" i="1" s="1"/>
  <c r="E27" i="2"/>
  <c r="F24" i="1"/>
  <c r="G24" i="1" s="1"/>
  <c r="E37" i="2"/>
  <c r="F39" i="1" l="1"/>
  <c r="G39" i="1" s="1"/>
  <c r="K39" i="1" s="1"/>
  <c r="E29" i="2"/>
  <c r="F43" i="1"/>
  <c r="G43" i="1" s="1"/>
  <c r="K43" i="1" s="1"/>
  <c r="E33" i="2"/>
  <c r="F28" i="1"/>
  <c r="G28" i="1" s="1"/>
  <c r="E18" i="2"/>
  <c r="E15" i="2"/>
  <c r="E23" i="2"/>
  <c r="F33" i="1"/>
  <c r="G33" i="1" s="1"/>
  <c r="K33" i="1" s="1"/>
  <c r="E20" i="2"/>
  <c r="F32" i="1"/>
  <c r="G32" i="1" s="1"/>
  <c r="K32" i="1" s="1"/>
  <c r="E22" i="2"/>
  <c r="F42" i="1"/>
  <c r="G42" i="1" s="1"/>
  <c r="K42" i="1" s="1"/>
  <c r="E32" i="2"/>
  <c r="K24" i="1"/>
  <c r="C12" i="1"/>
  <c r="C11" i="1"/>
  <c r="O23" i="1" l="1"/>
  <c r="O48" i="1"/>
  <c r="O49" i="1"/>
  <c r="O32" i="1"/>
  <c r="O37" i="1"/>
  <c r="O38" i="1"/>
  <c r="O39" i="1"/>
  <c r="O29" i="1"/>
  <c r="O44" i="1"/>
  <c r="O35" i="1"/>
  <c r="O41" i="1"/>
  <c r="O27" i="1"/>
  <c r="C15" i="1"/>
  <c r="F18" i="1" s="1"/>
  <c r="F19" i="1" s="1"/>
  <c r="O33" i="1"/>
  <c r="O30" i="1"/>
  <c r="O21" i="1"/>
  <c r="O25" i="1"/>
  <c r="O43" i="1"/>
  <c r="O28" i="1"/>
  <c r="O47" i="1"/>
  <c r="O24" i="1"/>
  <c r="O26" i="1"/>
  <c r="O42" i="1"/>
  <c r="O40" i="1"/>
  <c r="O45" i="1"/>
  <c r="O34" i="1"/>
  <c r="O31" i="1"/>
  <c r="O36" i="1"/>
  <c r="O22" i="1"/>
  <c r="O46" i="1"/>
  <c r="C16" i="1"/>
  <c r="D18" i="1" s="1"/>
  <c r="K28" i="1"/>
  <c r="C18" i="1" l="1"/>
</calcChain>
</file>

<file path=xl/sharedStrings.xml><?xml version="1.0" encoding="utf-8"?>
<sst xmlns="http://schemas.openxmlformats.org/spreadsheetml/2006/main" count="308" uniqueCount="162">
  <si>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</si>
  <si>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</si>
  <si>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</si>
  <si>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</si>
  <si>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</si>
  <si>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</si>
  <si>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</si>
  <si>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</si>
  <si>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</si>
  <si>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</si>
  <si>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</si>
  <si>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</si>
  <si>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</si>
  <si>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</si>
  <si>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</si>
  <si>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</si>
  <si>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</si>
  <si>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</si>
  <si>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</si>
  <si>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</si>
  <si>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</si>
  <si>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</si>
  <si>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</si>
  <si>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</si>
  <si>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</si>
  <si>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</si>
  <si>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</si>
  <si>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</si>
  <si>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</si>
  <si>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</si>
  <si>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</si>
  <si>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</si>
  <si>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</si>
  <si>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</si>
  <si>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</si>
  <si>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</si>
  <si>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SZ Oph / GSC 5645-0036</t>
  </si>
  <si>
    <t>EA/SD</t>
  </si>
  <si>
    <t>OEJV 0073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</si>
  <si>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</si>
  <si>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</si>
  <si>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</si>
  <si>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</si>
  <si>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</si>
  <si>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</si>
  <si>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</si>
  <si>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</si>
  <si>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</si>
  <si>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</si>
  <si>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</si>
  <si>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</si>
  <si>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</si>
  <si>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2420664.450 </t>
  </si>
  <si>
    <t> 15.06.1915 22:48 </t>
  </si>
  <si>
    <t> -0.349 </t>
  </si>
  <si>
    <t>V </t>
  </si>
  <si>
    <t> C.Hoffmeister </t>
  </si>
  <si>
    <t> AN 214.5 </t>
  </si>
  <si>
    <t>2420753.450 </t>
  </si>
  <si>
    <t> 12.09.1915 22:48 </t>
  </si>
  <si>
    <t> -0.352 </t>
  </si>
  <si>
    <t>2420953.765 </t>
  </si>
  <si>
    <t> 31.03.1916 06:21 </t>
  </si>
  <si>
    <t> -0.294 </t>
  </si>
  <si>
    <t>2421057.556 </t>
  </si>
  <si>
    <t> 13.07.1916 01:20 </t>
  </si>
  <si>
    <t> -0.339 </t>
  </si>
  <si>
    <t>2421072.390 </t>
  </si>
  <si>
    <t> 27.07.1916 21:21 </t>
  </si>
  <si>
    <t>2421124.325 </t>
  </si>
  <si>
    <t> 17.09.1916 19:48 </t>
  </si>
  <si>
    <t> -0.322 </t>
  </si>
  <si>
    <t>2421376.480 </t>
  </si>
  <si>
    <t> 27.05.1917 23:31 </t>
  </si>
  <si>
    <t> -0.342 </t>
  </si>
  <si>
    <t>2421480.332 </t>
  </si>
  <si>
    <t> 08.09.1917 19:58 </t>
  </si>
  <si>
    <t> -0.327 </t>
  </si>
  <si>
    <t>2421821.500 </t>
  </si>
  <si>
    <t> 16.08.1918 00:00 </t>
  </si>
  <si>
    <t> -0.336 </t>
  </si>
  <si>
    <t>2424647.345 </t>
  </si>
  <si>
    <t> 11.05.1926 20:16 </t>
  </si>
  <si>
    <t> -0.331 </t>
  </si>
  <si>
    <t> K.Kordylewski </t>
  </si>
  <si>
    <t> SAC 7.68 </t>
  </si>
  <si>
    <t>2428374.333 </t>
  </si>
  <si>
    <t> 24.07.1936 19:59 </t>
  </si>
  <si>
    <t> AA 27.155 </t>
  </si>
  <si>
    <t>2433336.400 </t>
  </si>
  <si>
    <t> 23.02.1950 21:36 </t>
  </si>
  <si>
    <t> -0.177 </t>
  </si>
  <si>
    <t>2442255.393 </t>
  </si>
  <si>
    <t> 26.07.1974 21:25 </t>
  </si>
  <si>
    <t> -0.008 </t>
  </si>
  <si>
    <t> R.Diethelm </t>
  </si>
  <si>
    <t> BBS 16 </t>
  </si>
  <si>
    <t>2442900.399 </t>
  </si>
  <si>
    <t> 01.05.1976 21:34 </t>
  </si>
  <si>
    <t> -0.273 </t>
  </si>
  <si>
    <t> H.Korpikiewicz </t>
  </si>
  <si>
    <t> SAC 53.98 </t>
  </si>
  <si>
    <t>2442993.380 </t>
  </si>
  <si>
    <t> 02.08.1976 21:07 </t>
  </si>
  <si>
    <t> BBS 29 </t>
  </si>
  <si>
    <t>2443349.390 </t>
  </si>
  <si>
    <t> 24.07.1977 21:21 </t>
  </si>
  <si>
    <t> -0.004 </t>
  </si>
  <si>
    <t> K.Locher </t>
  </si>
  <si>
    <t> BBS 34 </t>
  </si>
  <si>
    <t>2443627.521 </t>
  </si>
  <si>
    <t> 29.04.1978 00:30 </t>
  </si>
  <si>
    <t> -0.007 </t>
  </si>
  <si>
    <t> BBS 37 </t>
  </si>
  <si>
    <t>2443983.528 </t>
  </si>
  <si>
    <t> 20.04.1979 00:40 </t>
  </si>
  <si>
    <t> -0.011 </t>
  </si>
  <si>
    <t> BBS 43 </t>
  </si>
  <si>
    <t>2444087.364 </t>
  </si>
  <si>
    <t> 01.08.1979 20:44 </t>
  </si>
  <si>
    <t> -0.012 </t>
  </si>
  <si>
    <t> BBS 44 </t>
  </si>
  <si>
    <t>2444402.589 </t>
  </si>
  <si>
    <t> 12.06.1980 02:08 </t>
  </si>
  <si>
    <t> -0.005 </t>
  </si>
  <si>
    <t> BBS 48 </t>
  </si>
  <si>
    <t>2445077.550 </t>
  </si>
  <si>
    <t> 18.04.1982 01:12 </t>
  </si>
  <si>
    <t> 0.018 </t>
  </si>
  <si>
    <t> BBS 60 </t>
  </si>
  <si>
    <t>2445103.491 </t>
  </si>
  <si>
    <t> 13.05.1982 23:47 </t>
  </si>
  <si>
    <t> -0.001 </t>
  </si>
  <si>
    <t> M.Kohl </t>
  </si>
  <si>
    <t>2445485.459 </t>
  </si>
  <si>
    <t> 30.05.1983 23:00 </t>
  </si>
  <si>
    <t> BBS 66 </t>
  </si>
  <si>
    <t>2445971.298 </t>
  </si>
  <si>
    <t> 27.09.1984 19:09 </t>
  </si>
  <si>
    <t> 0.029 </t>
  </si>
  <si>
    <t> BBS 74 </t>
  </si>
  <si>
    <t>2446327.298 </t>
  </si>
  <si>
    <t> 18.09.1985 19:09 </t>
  </si>
  <si>
    <t> R.Germanm </t>
  </si>
  <si>
    <t> BBS 78 </t>
  </si>
  <si>
    <t>2446909.543 </t>
  </si>
  <si>
    <t> 24.04.1987 01:01 </t>
  </si>
  <si>
    <t> 0.036 </t>
  </si>
  <si>
    <t> BBS 83 </t>
  </si>
  <si>
    <t>2448385.536 </t>
  </si>
  <si>
    <t> 09.05.1991 00:51 </t>
  </si>
  <si>
    <t> 0.065 </t>
  </si>
  <si>
    <t> BBS 98 </t>
  </si>
  <si>
    <t>2454278.355 </t>
  </si>
  <si>
    <t> 26.06.2007 20:31 </t>
  </si>
  <si>
    <t> 0.156 </t>
  </si>
  <si>
    <t>C </t>
  </si>
  <si>
    <t>o</t>
  </si>
  <si>
    <t> A.Paschke </t>
  </si>
  <si>
    <t>OEJV 0073 </t>
  </si>
  <si>
    <t>BAD?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</si>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</sst>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Oph - O-C Diagr.</a:t>
            </a:r>
          </a:p>
        </c:rich>
      </c:tx>
      <c:layout>
        <c:manualLayout>
          <c:xMode val="edge"/>
          <c:yMode val="edge"/>
          <c:x val="0.394993045897079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B4-488F-BB57-26F4F687AF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8">
                  <c:v>0.15567899998131907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B4-488F-BB57-26F4F687AF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B4-488F-BB57-26F4F687AF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-0.34945699999661883</c:v>
                </c:pt>
                <c:pt idx="1">
                  <c:v>-0.35228099999949336</c:v>
                </c:pt>
                <c:pt idx="2">
                  <c:v>-0.29363499999817577</c:v>
                </c:pt>
                <c:pt idx="3">
                  <c:v>-0.33926299999802723</c:v>
                </c:pt>
                <c:pt idx="4">
                  <c:v>-0.33906700000079582</c:v>
                </c:pt>
                <c:pt idx="5">
                  <c:v>-0.3223809999981313</c:v>
                </c:pt>
                <c:pt idx="6">
                  <c:v>-0.34204899999895133</c:v>
                </c:pt>
                <c:pt idx="7">
                  <c:v>-0.32667700000092736</c:v>
                </c:pt>
                <c:pt idx="8">
                  <c:v>-0.33616899999833549</c:v>
                </c:pt>
                <c:pt idx="11">
                  <c:v>-0.17652399999496993</c:v>
                </c:pt>
                <c:pt idx="12">
                  <c:v>-8.1790000040200539E-3</c:v>
                </c:pt>
                <c:pt idx="14">
                  <c:v>-2.9280000017024577E-3</c:v>
                </c:pt>
                <c:pt idx="15">
                  <c:v>-4.2240000038873404E-3</c:v>
                </c:pt>
                <c:pt idx="16">
                  <c:v>-7.0489999998244457E-3</c:v>
                </c:pt>
                <c:pt idx="17">
                  <c:v>-1.134499999898253E-2</c:v>
                </c:pt>
                <c:pt idx="18">
                  <c:v>-1.1973000000580214E-2</c:v>
                </c:pt>
                <c:pt idx="19">
                  <c:v>-5.3079999997862615E-3</c:v>
                </c:pt>
                <c:pt idx="20">
                  <c:v>1.7610000002605375E-2</c:v>
                </c:pt>
                <c:pt idx="21">
                  <c:v>-5.4699999600416049E-4</c:v>
                </c:pt>
                <c:pt idx="22">
                  <c:v>-2.9999999969732016E-3</c:v>
                </c:pt>
                <c:pt idx="24">
                  <c:v>2.8919000003952533E-2</c:v>
                </c:pt>
                <c:pt idx="25">
                  <c:v>1.7622999999730382E-2</c:v>
                </c:pt>
                <c:pt idx="26">
                  <c:v>3.5815999995975289E-2</c:v>
                </c:pt>
                <c:pt idx="27">
                  <c:v>6.5318000000843313E-2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B4-488F-BB57-26F4F687AF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B4-488F-BB57-26F4F687AF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B4-488F-BB57-26F4F687AF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3">
                    <c:v>0</c:v>
                  </c:pt>
                  <c:pt idx="2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B4-488F-BB57-26F4F687AF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-0.34136067964265887</c:v>
                </c:pt>
                <c:pt idx="1">
                  <c:v>-0.34007871508900017</c:v>
                </c:pt>
                <c:pt idx="2">
                  <c:v>-0.33719429484326807</c:v>
                </c:pt>
                <c:pt idx="3">
                  <c:v>-0.33569866953066624</c:v>
                </c:pt>
                <c:pt idx="4">
                  <c:v>-0.33548500877172316</c:v>
                </c:pt>
                <c:pt idx="5">
                  <c:v>-0.33473719611542224</c:v>
                </c:pt>
                <c:pt idx="6">
                  <c:v>-0.33110496321338923</c:v>
                </c:pt>
                <c:pt idx="7">
                  <c:v>-0.32960933790078745</c:v>
                </c:pt>
                <c:pt idx="8">
                  <c:v>-0.32469514044509573</c:v>
                </c:pt>
                <c:pt idx="9">
                  <c:v>-0.28399276586643196</c:v>
                </c:pt>
                <c:pt idx="10">
                  <c:v>-0.23031050018197391</c:v>
                </c:pt>
                <c:pt idx="11">
                  <c:v>-0.15884097631550131</c:v>
                </c:pt>
                <c:pt idx="12">
                  <c:v>-3.0377445000952352E-2</c:v>
                </c:pt>
                <c:pt idx="13">
                  <c:v>-2.1083201986926772E-2</c:v>
                </c:pt>
                <c:pt idx="14">
                  <c:v>-1.974782224353229E-2</c:v>
                </c:pt>
                <c:pt idx="15">
                  <c:v>-1.4619964028897488E-2</c:v>
                </c:pt>
                <c:pt idx="16">
                  <c:v>-1.0613824798714047E-2</c:v>
                </c:pt>
                <c:pt idx="17">
                  <c:v>-5.4859665840792451E-3</c:v>
                </c:pt>
                <c:pt idx="18">
                  <c:v>-3.9903412714774288E-3</c:v>
                </c:pt>
                <c:pt idx="19">
                  <c:v>5.4994985606380414E-4</c:v>
                </c:pt>
                <c:pt idx="20">
                  <c:v>1.0271514387975619E-2</c:v>
                </c:pt>
                <c:pt idx="21">
                  <c:v>1.0645420716126074E-2</c:v>
                </c:pt>
                <c:pt idx="22">
                  <c:v>1.6147185258911331E-2</c:v>
                </c:pt>
                <c:pt idx="23">
                  <c:v>1.6147185258911331E-2</c:v>
                </c:pt>
                <c:pt idx="24">
                  <c:v>2.3144575114298405E-2</c:v>
                </c:pt>
                <c:pt idx="25">
                  <c:v>2.827243332893321E-2</c:v>
                </c:pt>
                <c:pt idx="26">
                  <c:v>3.6658618117450546E-2</c:v>
                </c:pt>
                <c:pt idx="27">
                  <c:v>5.7917863632290664E-2</c:v>
                </c:pt>
                <c:pt idx="28">
                  <c:v>0.14279460012244383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B4-488F-BB57-26F4F687AF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-6693</c:v>
                </c:pt>
                <c:pt idx="1">
                  <c:v>-6669</c:v>
                </c:pt>
                <c:pt idx="2">
                  <c:v>-6615</c:v>
                </c:pt>
                <c:pt idx="3">
                  <c:v>-6587</c:v>
                </c:pt>
                <c:pt idx="4">
                  <c:v>-6583</c:v>
                </c:pt>
                <c:pt idx="5">
                  <c:v>-6569</c:v>
                </c:pt>
                <c:pt idx="6">
                  <c:v>-6501</c:v>
                </c:pt>
                <c:pt idx="7">
                  <c:v>-6473</c:v>
                </c:pt>
                <c:pt idx="8">
                  <c:v>-6381</c:v>
                </c:pt>
                <c:pt idx="9">
                  <c:v>-5619</c:v>
                </c:pt>
                <c:pt idx="10">
                  <c:v>-4614</c:v>
                </c:pt>
                <c:pt idx="11">
                  <c:v>-3276</c:v>
                </c:pt>
                <c:pt idx="12">
                  <c:v>-871</c:v>
                </c:pt>
                <c:pt idx="13">
                  <c:v>-697</c:v>
                </c:pt>
                <c:pt idx="14">
                  <c:v>-672</c:v>
                </c:pt>
                <c:pt idx="15">
                  <c:v>-576</c:v>
                </c:pt>
                <c:pt idx="16">
                  <c:v>-501</c:v>
                </c:pt>
                <c:pt idx="17">
                  <c:v>-405</c:v>
                </c:pt>
                <c:pt idx="18">
                  <c:v>-377</c:v>
                </c:pt>
                <c:pt idx="19">
                  <c:v>-292</c:v>
                </c:pt>
                <c:pt idx="20">
                  <c:v>-110</c:v>
                </c:pt>
                <c:pt idx="21">
                  <c:v>-103</c:v>
                </c:pt>
                <c:pt idx="22">
                  <c:v>0</c:v>
                </c:pt>
                <c:pt idx="23">
                  <c:v>0</c:v>
                </c:pt>
                <c:pt idx="24">
                  <c:v>131</c:v>
                </c:pt>
                <c:pt idx="25">
                  <c:v>227</c:v>
                </c:pt>
                <c:pt idx="26">
                  <c:v>384</c:v>
                </c:pt>
                <c:pt idx="27">
                  <c:v>782</c:v>
                </c:pt>
                <c:pt idx="28">
                  <c:v>2371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9">
                  <c:v>-0.33083099999566912</c:v>
                </c:pt>
                <c:pt idx="10">
                  <c:v>-0.33608599999934086</c:v>
                </c:pt>
                <c:pt idx="13">
                  <c:v>-0.27265299999999115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B4-488F-BB57-26F4F687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22360"/>
        <c:axId val="1"/>
      </c:scatterChart>
      <c:valAx>
        <c:axId val="781922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922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62308762169679"/>
          <c:y val="0.92397937099967764"/>
          <c:w val="0.714881780250347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072A33F-E684-0446-E31A-128C29AA3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ejv/issues/oejv0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D8" sqref="D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ht="12.95" customHeight="1" x14ac:dyDescent="0.2">
      <c r="A2" t="s">
        <v>25</v>
      </c>
      <c r="B2" t="s">
        <v>37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>
        <v>45485.462</v>
      </c>
      <c r="D4" s="9">
        <v>3.7084510000000002</v>
      </c>
    </row>
    <row r="5" spans="1:6" ht="12.95" customHeight="1" thickTop="1" x14ac:dyDescent="0.2">
      <c r="A5" s="11" t="s">
        <v>30</v>
      </c>
      <c r="B5" s="12"/>
      <c r="C5" s="13">
        <v>-9.5</v>
      </c>
      <c r="D5" s="12" t="s">
        <v>31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>
        <f>+C4</f>
        <v>45485.462</v>
      </c>
    </row>
    <row r="8" spans="1:6" ht="12.95" customHeight="1" x14ac:dyDescent="0.2">
      <c r="A8" t="s">
        <v>3</v>
      </c>
      <c r="C8">
        <f>+D4</f>
        <v>3.7084510000000002</v>
      </c>
    </row>
    <row r="9" spans="1:6" ht="12.95" customHeight="1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2.95" customHeight="1" thickBot="1" x14ac:dyDescent="0.25">
      <c r="A10" s="12"/>
      <c r="B10" s="12"/>
      <c r="C10" s="4" t="s">
        <v>21</v>
      </c>
      <c r="D10" s="4" t="s">
        <v>22</v>
      </c>
      <c r="E10" s="12"/>
    </row>
    <row r="11" spans="1:6" ht="12.95" customHeight="1" x14ac:dyDescent="0.2">
      <c r="A11" s="12" t="s">
        <v>16</v>
      </c>
      <c r="B11" s="12"/>
      <c r="C11" s="23">
        <f ca="1">INTERCEPT(INDIRECT($D$9):G991,INDIRECT($C$9):F991)</f>
        <v>1.6147185258911331E-2</v>
      </c>
      <c r="D11" s="3"/>
      <c r="E11" s="12"/>
    </row>
    <row r="12" spans="1:6" ht="12.95" customHeight="1" x14ac:dyDescent="0.2">
      <c r="A12" s="12" t="s">
        <v>17</v>
      </c>
      <c r="B12" s="12"/>
      <c r="C12" s="23">
        <f ca="1">SLOPE(INDIRECT($D$9):G991,INDIRECT($C$9):F991)</f>
        <v>5.3415189735779201E-5</v>
      </c>
      <c r="D12" s="3"/>
      <c r="E12" s="12"/>
    </row>
    <row r="13" spans="1:6" ht="12.95" customHeight="1" x14ac:dyDescent="0.2">
      <c r="A13" s="12" t="s">
        <v>20</v>
      </c>
      <c r="B13" s="12"/>
      <c r="C13" s="3" t="s">
        <v>14</v>
      </c>
    </row>
    <row r="14" spans="1:6" ht="12.95" customHeight="1" x14ac:dyDescent="0.2">
      <c r="A14" s="12"/>
      <c r="B14" s="12"/>
      <c r="C14" s="12"/>
    </row>
    <row r="15" spans="1:6" ht="12.95" customHeight="1" x14ac:dyDescent="0.2">
      <c r="A15" s="14" t="s">
        <v>18</v>
      </c>
      <c r="B15" s="12"/>
      <c r="C15" s="15">
        <f ca="1">(C7+C11)+(C8+C12)*INT(MAX(F21:F3532))</f>
        <v>54278.342115600128</v>
      </c>
      <c r="E15" s="3"/>
      <c r="F15" s="12"/>
    </row>
    <row r="16" spans="1:6" ht="12.95" customHeight="1" x14ac:dyDescent="0.2">
      <c r="A16" s="18" t="s">
        <v>4</v>
      </c>
      <c r="B16" s="12"/>
      <c r="C16" s="19">
        <f ca="1">+C8+C12</f>
        <v>3.7085044151897359</v>
      </c>
      <c r="E16" s="12"/>
      <c r="F16" s="12"/>
    </row>
    <row r="17" spans="1:21" ht="12.95" customHeight="1" thickBot="1" x14ac:dyDescent="0.25">
      <c r="A17" s="16" t="s">
        <v>29</v>
      </c>
      <c r="B17" s="12"/>
      <c r="C17" s="12">
        <f>COUNT(C21:C2190)</f>
        <v>29</v>
      </c>
      <c r="E17" s="16" t="s">
        <v>32</v>
      </c>
      <c r="F17" s="17">
        <f ca="1">TODAY()+15018.5-B5/24</f>
        <v>60365.5</v>
      </c>
    </row>
    <row r="18" spans="1:21" ht="12.95" customHeight="1" thickTop="1" thickBot="1" x14ac:dyDescent="0.25">
      <c r="A18" s="18" t="s">
        <v>5</v>
      </c>
      <c r="B18" s="12"/>
      <c r="C18" s="21">
        <f ca="1">+C15</f>
        <v>54278.342115600128</v>
      </c>
      <c r="D18" s="22">
        <f ca="1">+C16</f>
        <v>3.7085044151897359</v>
      </c>
      <c r="E18" s="16" t="s">
        <v>33</v>
      </c>
      <c r="F18" s="17">
        <f ca="1">ROUND(2*(F17-C15)/C16,0)/2+1</f>
        <v>1642.5</v>
      </c>
    </row>
    <row r="19" spans="1:21" ht="12.95" customHeight="1" thickTop="1" x14ac:dyDescent="0.2">
      <c r="E19" s="16" t="s">
        <v>34</v>
      </c>
      <c r="F19" s="20">
        <f ca="1">+C15+C16*F18-15018.5-C5/24</f>
        <v>45351.456450882608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42</v>
      </c>
      <c r="J20" s="7" t="s">
        <v>19</v>
      </c>
      <c r="K20" s="7" t="s">
        <v>161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15</v>
      </c>
      <c r="U20" s="46" t="s">
        <v>160</v>
      </c>
    </row>
    <row r="21" spans="1:21" ht="12.95" customHeight="1" x14ac:dyDescent="0.2">
      <c r="A21" s="43" t="s">
        <v>57</v>
      </c>
      <c r="B21" s="45" t="s">
        <v>39</v>
      </c>
      <c r="C21" s="44">
        <v>20664.45</v>
      </c>
      <c r="D21" s="10"/>
      <c r="E21">
        <f>+(C21-C$7)/C$8</f>
        <v>-6693.0942326054728</v>
      </c>
      <c r="F21">
        <f>ROUND(2*E21,0)/2</f>
        <v>-6693</v>
      </c>
      <c r="G21">
        <f>+C21-(C$7+F21*C$8)</f>
        <v>-0.34945699999661883</v>
      </c>
      <c r="K21">
        <f>+G21</f>
        <v>-0.34945699999661883</v>
      </c>
      <c r="O21">
        <f ca="1">+C$11+C$12*$F21</f>
        <v>-0.34136067964265887</v>
      </c>
      <c r="Q21" s="2">
        <f>+C21-15018.5</f>
        <v>5645.9500000000007</v>
      </c>
    </row>
    <row r="22" spans="1:21" ht="12.95" customHeight="1" x14ac:dyDescent="0.2">
      <c r="A22" s="43" t="s">
        <v>57</v>
      </c>
      <c r="B22" s="45" t="s">
        <v>39</v>
      </c>
      <c r="C22" s="44">
        <v>20753.45</v>
      </c>
      <c r="D22" s="10"/>
      <c r="E22">
        <f>+(C22-C$7)/C$8</f>
        <v>-6669.0949941093995</v>
      </c>
      <c r="F22">
        <f>ROUND(2*E22,0)/2</f>
        <v>-6669</v>
      </c>
      <c r="G22">
        <f>+C22-(C$7+F22*C$8)</f>
        <v>-0.35228099999949336</v>
      </c>
      <c r="K22">
        <f>+G22</f>
        <v>-0.35228099999949336</v>
      </c>
      <c r="O22">
        <f ca="1">+C$11+C$12*$F22</f>
        <v>-0.34007871508900017</v>
      </c>
      <c r="Q22" s="2">
        <f>+C22-15018.5</f>
        <v>5734.9500000000007</v>
      </c>
    </row>
    <row r="23" spans="1:21" ht="12.95" customHeight="1" x14ac:dyDescent="0.2">
      <c r="A23" s="43" t="s">
        <v>57</v>
      </c>
      <c r="B23" s="45" t="s">
        <v>39</v>
      </c>
      <c r="C23" s="44">
        <v>20953.764999999999</v>
      </c>
      <c r="D23" s="10"/>
      <c r="E23">
        <f>+(C23-C$7)/C$8</f>
        <v>-6615.0791799595027</v>
      </c>
      <c r="F23">
        <f>ROUND(2*E23,0)/2</f>
        <v>-6615</v>
      </c>
      <c r="G23">
        <f>+C23-(C$7+F23*C$8)</f>
        <v>-0.29363499999817577</v>
      </c>
      <c r="K23">
        <f>+G23</f>
        <v>-0.29363499999817577</v>
      </c>
      <c r="O23">
        <f ca="1">+C$11+C$12*$F23</f>
        <v>-0.33719429484326807</v>
      </c>
      <c r="Q23" s="2">
        <f>+C23-15018.5</f>
        <v>5935.2649999999994</v>
      </c>
    </row>
    <row r="24" spans="1:21" ht="12.95" customHeight="1" x14ac:dyDescent="0.2">
      <c r="A24" s="43" t="s">
        <v>57</v>
      </c>
      <c r="B24" s="45" t="s">
        <v>39</v>
      </c>
      <c r="C24" s="44">
        <v>21057.556</v>
      </c>
      <c r="D24" s="10"/>
      <c r="E24">
        <f>+(C24-C$7)/C$8</f>
        <v>-6587.0914837488745</v>
      </c>
      <c r="F24">
        <f>ROUND(2*E24,0)/2</f>
        <v>-6587</v>
      </c>
      <c r="G24">
        <f>+C24-(C$7+F24*C$8)</f>
        <v>-0.33926299999802723</v>
      </c>
      <c r="K24">
        <f>+G24</f>
        <v>-0.33926299999802723</v>
      </c>
      <c r="O24">
        <f ca="1">+C$11+C$12*$F24</f>
        <v>-0.33569866953066624</v>
      </c>
      <c r="Q24" s="2">
        <f>+C24-15018.5</f>
        <v>6039.0560000000005</v>
      </c>
    </row>
    <row r="25" spans="1:21" ht="12.95" customHeight="1" x14ac:dyDescent="0.2">
      <c r="A25" s="43" t="s">
        <v>57</v>
      </c>
      <c r="B25" s="45" t="s">
        <v>39</v>
      </c>
      <c r="C25" s="44">
        <v>21072.39</v>
      </c>
      <c r="D25" s="10"/>
      <c r="E25">
        <f>+(C25-C$7)/C$8</f>
        <v>-6583.0914308966194</v>
      </c>
      <c r="F25">
        <f>ROUND(2*E25,0)/2</f>
        <v>-6583</v>
      </c>
      <c r="G25">
        <f>+C25-(C$7+F25*C$8)</f>
        <v>-0.33906700000079582</v>
      </c>
      <c r="K25">
        <f>+G25</f>
        <v>-0.33906700000079582</v>
      </c>
      <c r="O25">
        <f ca="1">+C$11+C$12*$F25</f>
        <v>-0.33548500877172316</v>
      </c>
      <c r="Q25" s="2">
        <f>+C25-15018.5</f>
        <v>6053.8899999999994</v>
      </c>
    </row>
    <row r="26" spans="1:21" ht="12.95" customHeight="1" x14ac:dyDescent="0.2">
      <c r="A26" s="43" t="s">
        <v>57</v>
      </c>
      <c r="B26" s="45" t="s">
        <v>39</v>
      </c>
      <c r="C26" s="44">
        <v>21124.325000000001</v>
      </c>
      <c r="D26" s="10"/>
      <c r="E26">
        <f>+(C26-C$7)/C$8</f>
        <v>-6569.0869314438823</v>
      </c>
      <c r="F26">
        <f>ROUND(2*E26,0)/2</f>
        <v>-6569</v>
      </c>
      <c r="G26">
        <f>+C26-(C$7+F26*C$8)</f>
        <v>-0.3223809999981313</v>
      </c>
      <c r="K26">
        <f>+G26</f>
        <v>-0.3223809999981313</v>
      </c>
      <c r="O26">
        <f ca="1">+C$11+C$12*$F26</f>
        <v>-0.33473719611542224</v>
      </c>
      <c r="Q26" s="2">
        <f>+C26-15018.5</f>
        <v>6105.8250000000007</v>
      </c>
    </row>
    <row r="27" spans="1:21" ht="12.95" customHeight="1" x14ac:dyDescent="0.2">
      <c r="A27" s="43" t="s">
        <v>57</v>
      </c>
      <c r="B27" s="45" t="s">
        <v>39</v>
      </c>
      <c r="C27" s="44">
        <v>21376.48</v>
      </c>
      <c r="D27" s="10"/>
      <c r="E27">
        <f>+(C27-C$7)/C$8</f>
        <v>-6501.0922350059363</v>
      </c>
      <c r="F27">
        <f>ROUND(2*E27,0)/2</f>
        <v>-6501</v>
      </c>
      <c r="G27">
        <f>+C27-(C$7+F27*C$8)</f>
        <v>-0.34204899999895133</v>
      </c>
      <c r="K27">
        <f>+G27</f>
        <v>-0.34204899999895133</v>
      </c>
      <c r="O27">
        <f ca="1">+C$11+C$12*$F27</f>
        <v>-0.33110496321338923</v>
      </c>
      <c r="Q27" s="2">
        <f>+C27-15018.5</f>
        <v>6357.98</v>
      </c>
    </row>
    <row r="28" spans="1:21" ht="12.95" customHeight="1" x14ac:dyDescent="0.2">
      <c r="A28" s="43" t="s">
        <v>57</v>
      </c>
      <c r="B28" s="45" t="s">
        <v>39</v>
      </c>
      <c r="C28" s="44">
        <v>21480.331999999999</v>
      </c>
      <c r="D28" s="10"/>
      <c r="E28">
        <f>+(C28-C$7)/C$8</f>
        <v>-6473.0880898790356</v>
      </c>
      <c r="F28">
        <f>ROUND(2*E28,0)/2</f>
        <v>-6473</v>
      </c>
      <c r="G28">
        <f>+C28-(C$7+F28*C$8)</f>
        <v>-0.32667700000092736</v>
      </c>
      <c r="K28">
        <f>+G28</f>
        <v>-0.32667700000092736</v>
      </c>
      <c r="O28">
        <f ca="1">+C$11+C$12*$F28</f>
        <v>-0.32960933790078745</v>
      </c>
      <c r="Q28" s="2">
        <f>+C28-15018.5</f>
        <v>6461.8319999999985</v>
      </c>
    </row>
    <row r="29" spans="1:21" ht="12.95" customHeight="1" x14ac:dyDescent="0.2">
      <c r="A29" s="43" t="s">
        <v>57</v>
      </c>
      <c r="B29" s="45" t="s">
        <v>39</v>
      </c>
      <c r="C29" s="44">
        <v>21821.5</v>
      </c>
      <c r="D29" s="10"/>
      <c r="E29">
        <f>+(C29-C$7)/C$8</f>
        <v>-6381.0906494382689</v>
      </c>
      <c r="F29">
        <f>ROUND(2*E29,0)/2</f>
        <v>-6381</v>
      </c>
      <c r="G29">
        <f>+C29-(C$7+F29*C$8)</f>
        <v>-0.33616899999833549</v>
      </c>
      <c r="K29">
        <f>+G29</f>
        <v>-0.33616899999833549</v>
      </c>
      <c r="O29">
        <f ca="1">+C$11+C$12*$F29</f>
        <v>-0.32469514044509573</v>
      </c>
      <c r="Q29" s="2">
        <f>+C29-15018.5</f>
        <v>6803</v>
      </c>
    </row>
    <row r="30" spans="1:21" ht="12.95" customHeight="1" x14ac:dyDescent="0.2">
      <c r="A30" s="43" t="s">
        <v>85</v>
      </c>
      <c r="B30" s="45" t="s">
        <v>39</v>
      </c>
      <c r="C30" s="44">
        <v>24647.345000000001</v>
      </c>
      <c r="D30" s="10"/>
      <c r="E30">
        <f>+(C30-C$7)/C$8</f>
        <v>-5619.0892100232677</v>
      </c>
      <c r="F30">
        <f>ROUND(2*E30,0)/2</f>
        <v>-5619</v>
      </c>
      <c r="O30">
        <f ca="1">+C$11+C$12*$F30</f>
        <v>-0.28399276586643196</v>
      </c>
      <c r="Q30" s="2">
        <f>+C30-15018.5</f>
        <v>9628.8450000000012</v>
      </c>
      <c r="U30">
        <f>+C30-(C$7+F30*C$8)</f>
        <v>-0.33083099999566912</v>
      </c>
    </row>
    <row r="31" spans="1:21" ht="12.95" customHeight="1" x14ac:dyDescent="0.2">
      <c r="A31" s="43" t="s">
        <v>88</v>
      </c>
      <c r="B31" s="45" t="s">
        <v>39</v>
      </c>
      <c r="C31" s="44">
        <v>28374.332999999999</v>
      </c>
      <c r="D31" s="10"/>
      <c r="E31">
        <f>+(C31-C$7)/C$8</f>
        <v>-4614.0906270569576</v>
      </c>
      <c r="F31">
        <f>ROUND(2*E31,0)/2</f>
        <v>-4614</v>
      </c>
      <c r="O31">
        <f ca="1">+C$11+C$12*$F31</f>
        <v>-0.23031050018197391</v>
      </c>
      <c r="Q31" s="2">
        <f>+C31-15018.5</f>
        <v>13355.832999999999</v>
      </c>
      <c r="U31">
        <f>+C31-(C$7+F31*C$8)</f>
        <v>-0.33608599999934086</v>
      </c>
    </row>
    <row r="32" spans="1:21" ht="12.95" customHeight="1" x14ac:dyDescent="0.2">
      <c r="A32" s="43" t="s">
        <v>88</v>
      </c>
      <c r="B32" s="45" t="s">
        <v>39</v>
      </c>
      <c r="C32" s="44">
        <v>33336.400000000001</v>
      </c>
      <c r="D32" s="10"/>
      <c r="E32">
        <f>+(C32-C$7)/C$8</f>
        <v>-3276.0476004671486</v>
      </c>
      <c r="F32">
        <f>ROUND(2*E32,0)/2</f>
        <v>-3276</v>
      </c>
      <c r="G32">
        <f>+C32-(C$7+F32*C$8)</f>
        <v>-0.17652399999496993</v>
      </c>
      <c r="K32">
        <f>+G32</f>
        <v>-0.17652399999496993</v>
      </c>
      <c r="O32">
        <f ca="1">+C$11+C$12*$F32</f>
        <v>-0.15884097631550131</v>
      </c>
      <c r="Q32" s="2">
        <f>+C32-15018.5</f>
        <v>18317.900000000001</v>
      </c>
    </row>
    <row r="33" spans="1:21" ht="12.95" customHeight="1" x14ac:dyDescent="0.2">
      <c r="A33" s="43" t="s">
        <v>96</v>
      </c>
      <c r="B33" s="45" t="s">
        <v>39</v>
      </c>
      <c r="C33" s="44">
        <v>42255.392999999996</v>
      </c>
      <c r="D33" s="10"/>
      <c r="E33">
        <f>+(C33-C$7)/C$8</f>
        <v>-871.00220550305312</v>
      </c>
      <c r="F33">
        <f>ROUND(2*E33,0)/2</f>
        <v>-871</v>
      </c>
      <c r="G33">
        <f>+C33-(C$7+F33*C$8)</f>
        <v>-8.1790000040200539E-3</v>
      </c>
      <c r="K33">
        <f>+G33</f>
        <v>-8.1790000040200539E-3</v>
      </c>
      <c r="O33">
        <f ca="1">+C$11+C$12*$F33</f>
        <v>-3.0377445000952352E-2</v>
      </c>
      <c r="Q33" s="2">
        <f>+C33-15018.5</f>
        <v>27236.892999999996</v>
      </c>
    </row>
    <row r="34" spans="1:21" ht="12.95" customHeight="1" x14ac:dyDescent="0.2">
      <c r="A34" s="43" t="s">
        <v>101</v>
      </c>
      <c r="B34" s="45" t="s">
        <v>39</v>
      </c>
      <c r="C34" s="44">
        <v>42900.398999999998</v>
      </c>
      <c r="D34" s="10"/>
      <c r="E34">
        <f>+(C34-C$7)/C$8</f>
        <v>-697.07352207161478</v>
      </c>
      <c r="F34">
        <f>ROUND(2*E34,0)/2</f>
        <v>-697</v>
      </c>
      <c r="O34">
        <f ca="1">+C$11+C$12*$F34</f>
        <v>-2.1083201986926772E-2</v>
      </c>
      <c r="Q34" s="2">
        <f>+C34-15018.5</f>
        <v>27881.898999999998</v>
      </c>
      <c r="U34">
        <f>+C34-(C$7+F34*C$8)</f>
        <v>-0.27265299999999115</v>
      </c>
    </row>
    <row r="35" spans="1:21" ht="12.95" customHeight="1" x14ac:dyDescent="0.2">
      <c r="A35" s="43" t="s">
        <v>104</v>
      </c>
      <c r="B35" s="45" t="s">
        <v>39</v>
      </c>
      <c r="C35" s="44">
        <v>42993.38</v>
      </c>
      <c r="D35" s="10"/>
      <c r="E35">
        <f>+(C35-C$7)/C$8</f>
        <v>-672.00078954798164</v>
      </c>
      <c r="F35">
        <f>ROUND(2*E35,0)/2</f>
        <v>-672</v>
      </c>
      <c r="G35">
        <f>+C35-(C$7+F35*C$8)</f>
        <v>-2.9280000017024577E-3</v>
      </c>
      <c r="K35">
        <f>+G35</f>
        <v>-2.9280000017024577E-3</v>
      </c>
      <c r="O35">
        <f ca="1">+C$11+C$12*$F35</f>
        <v>-1.974782224353229E-2</v>
      </c>
      <c r="Q35" s="2">
        <f>+C35-15018.5</f>
        <v>27974.879999999997</v>
      </c>
    </row>
    <row r="36" spans="1:21" ht="12.95" customHeight="1" x14ac:dyDescent="0.2">
      <c r="A36" s="43" t="s">
        <v>109</v>
      </c>
      <c r="B36" s="45" t="s">
        <v>39</v>
      </c>
      <c r="C36" s="44">
        <v>43349.39</v>
      </c>
      <c r="D36" s="10"/>
      <c r="E36">
        <f>+(C36-C$7)/C$8</f>
        <v>-576.00113902003829</v>
      </c>
      <c r="F36">
        <f>ROUND(2*E36,0)/2</f>
        <v>-576</v>
      </c>
      <c r="G36">
        <f>+C36-(C$7+F36*C$8)</f>
        <v>-4.2240000038873404E-3</v>
      </c>
      <c r="K36">
        <f>+G36</f>
        <v>-4.2240000038873404E-3</v>
      </c>
      <c r="O36">
        <f ca="1">+C$11+C$12*$F36</f>
        <v>-1.4619964028897488E-2</v>
      </c>
      <c r="Q36" s="2">
        <f>+C36-15018.5</f>
        <v>28330.89</v>
      </c>
    </row>
    <row r="37" spans="1:21" ht="12.95" customHeight="1" x14ac:dyDescent="0.2">
      <c r="A37" s="43" t="s">
        <v>113</v>
      </c>
      <c r="B37" s="45" t="s">
        <v>39</v>
      </c>
      <c r="C37" s="44">
        <v>43627.521000000001</v>
      </c>
      <c r="D37" s="10"/>
      <c r="E37">
        <f>+(C37-C$7)/C$8</f>
        <v>-501.00190079361943</v>
      </c>
      <c r="F37">
        <f>ROUND(2*E37,0)/2</f>
        <v>-501</v>
      </c>
      <c r="G37">
        <f>+C37-(C$7+F37*C$8)</f>
        <v>-7.0489999998244457E-3</v>
      </c>
      <c r="K37">
        <f>+G37</f>
        <v>-7.0489999998244457E-3</v>
      </c>
      <c r="O37">
        <f ca="1">+C$11+C$12*$F37</f>
        <v>-1.0613824798714047E-2</v>
      </c>
      <c r="Q37" s="2">
        <f>+C37-15018.5</f>
        <v>28609.021000000001</v>
      </c>
    </row>
    <row r="38" spans="1:21" ht="12.95" customHeight="1" x14ac:dyDescent="0.2">
      <c r="A38" s="43" t="s">
        <v>117</v>
      </c>
      <c r="B38" s="45" t="s">
        <v>39</v>
      </c>
      <c r="C38" s="44">
        <v>43983.527999999998</v>
      </c>
      <c r="D38" s="10"/>
      <c r="E38">
        <f>+(C38-C$7)/C$8</f>
        <v>-405.0030592287726</v>
      </c>
      <c r="F38">
        <f>ROUND(2*E38,0)/2</f>
        <v>-405</v>
      </c>
      <c r="G38">
        <f>+C38-(C$7+F38*C$8)</f>
        <v>-1.134499999898253E-2</v>
      </c>
      <c r="K38">
        <f>+G38</f>
        <v>-1.134499999898253E-2</v>
      </c>
      <c r="O38">
        <f ca="1">+C$11+C$12*$F38</f>
        <v>-5.4859665840792451E-3</v>
      </c>
      <c r="Q38" s="2">
        <f>+C38-15018.5</f>
        <v>28965.027999999998</v>
      </c>
    </row>
    <row r="39" spans="1:21" ht="12.95" customHeight="1" x14ac:dyDescent="0.2">
      <c r="A39" s="43" t="s">
        <v>121</v>
      </c>
      <c r="B39" s="45" t="s">
        <v>39</v>
      </c>
      <c r="C39" s="44">
        <v>44087.364000000001</v>
      </c>
      <c r="D39" s="10"/>
      <c r="E39">
        <f>+(C39-C$7)/C$8</f>
        <v>-377.00322857171312</v>
      </c>
      <c r="F39">
        <f>ROUND(2*E39,0)/2</f>
        <v>-377</v>
      </c>
      <c r="G39">
        <f>+C39-(C$7+F39*C$8)</f>
        <v>-1.1973000000580214E-2</v>
      </c>
      <c r="K39">
        <f>+G39</f>
        <v>-1.1973000000580214E-2</v>
      </c>
      <c r="O39">
        <f ca="1">+C$11+C$12*$F39</f>
        <v>-3.9903412714774288E-3</v>
      </c>
      <c r="Q39" s="2">
        <f>+C39-15018.5</f>
        <v>29068.864000000001</v>
      </c>
    </row>
    <row r="40" spans="1:21" ht="12.95" customHeight="1" x14ac:dyDescent="0.2">
      <c r="A40" s="43" t="s">
        <v>125</v>
      </c>
      <c r="B40" s="45" t="s">
        <v>39</v>
      </c>
      <c r="C40" s="44">
        <v>44402.589</v>
      </c>
      <c r="D40" s="10"/>
      <c r="E40">
        <f>+(C40-C$7)/C$8</f>
        <v>-292.00143132536994</v>
      </c>
      <c r="F40">
        <f>ROUND(2*E40,0)/2</f>
        <v>-292</v>
      </c>
      <c r="G40">
        <f>+C40-(C$7+F40*C$8)</f>
        <v>-5.3079999997862615E-3</v>
      </c>
      <c r="K40">
        <f>+G40</f>
        <v>-5.3079999997862615E-3</v>
      </c>
      <c r="O40">
        <f ca="1">+C$11+C$12*$F40</f>
        <v>5.4994985606380414E-4</v>
      </c>
      <c r="Q40" s="2">
        <f>+C40-15018.5</f>
        <v>29384.089</v>
      </c>
    </row>
    <row r="41" spans="1:21" ht="12.95" customHeight="1" x14ac:dyDescent="0.2">
      <c r="A41" s="43" t="s">
        <v>129</v>
      </c>
      <c r="B41" s="45" t="s">
        <v>39</v>
      </c>
      <c r="C41" s="44">
        <v>45077.55</v>
      </c>
      <c r="D41" s="10"/>
      <c r="E41">
        <f>+(C41-C$7)/C$8</f>
        <v>-109.99525138662925</v>
      </c>
      <c r="F41">
        <f>ROUND(2*E41,0)/2</f>
        <v>-110</v>
      </c>
      <c r="G41">
        <f>+C41-(C$7+F41*C$8)</f>
        <v>1.7610000002605375E-2</v>
      </c>
      <c r="K41">
        <f>+G41</f>
        <v>1.7610000002605375E-2</v>
      </c>
      <c r="O41">
        <f ca="1">+C$11+C$12*$F41</f>
        <v>1.0271514387975619E-2</v>
      </c>
      <c r="Q41" s="2">
        <f>+C41-15018.5</f>
        <v>30059.050000000003</v>
      </c>
    </row>
    <row r="42" spans="1:21" ht="12.95" customHeight="1" x14ac:dyDescent="0.2">
      <c r="A42" s="43" t="s">
        <v>129</v>
      </c>
      <c r="B42" s="45" t="s">
        <v>39</v>
      </c>
      <c r="C42" s="44">
        <v>45103.491000000002</v>
      </c>
      <c r="D42" s="10"/>
      <c r="E42">
        <f>+(C42-C$7)/C$8</f>
        <v>-103.0001475009371</v>
      </c>
      <c r="F42">
        <f>ROUND(2*E42,0)/2</f>
        <v>-103</v>
      </c>
      <c r="G42">
        <f>+C42-(C$7+F42*C$8)</f>
        <v>-5.4699999600416049E-4</v>
      </c>
      <c r="K42">
        <f>+G42</f>
        <v>-5.4699999600416049E-4</v>
      </c>
      <c r="O42">
        <f ca="1">+C$11+C$12*$F42</f>
        <v>1.0645420716126074E-2</v>
      </c>
      <c r="Q42" s="2">
        <f>+C42-15018.5</f>
        <v>30084.991000000002</v>
      </c>
    </row>
    <row r="43" spans="1:21" ht="12.95" customHeight="1" x14ac:dyDescent="0.2">
      <c r="A43" s="43" t="s">
        <v>136</v>
      </c>
      <c r="B43" s="45" t="s">
        <v>39</v>
      </c>
      <c r="C43" s="44">
        <v>45485.459000000003</v>
      </c>
      <c r="D43" s="10"/>
      <c r="E43">
        <f>+(C43-C$7)/C$8</f>
        <v>-8.0896309455705403E-4</v>
      </c>
      <c r="F43">
        <f>ROUND(2*E43,0)/2</f>
        <v>0</v>
      </c>
      <c r="G43">
        <f>+C43-(C$7+F43*C$8)</f>
        <v>-2.9999999969732016E-3</v>
      </c>
      <c r="K43">
        <f>+G43</f>
        <v>-2.9999999969732016E-3</v>
      </c>
      <c r="O43">
        <f ca="1">+C$11+C$12*$F43</f>
        <v>1.6147185258911331E-2</v>
      </c>
      <c r="Q43" s="2">
        <f>+C43-15018.5</f>
        <v>30466.959000000003</v>
      </c>
    </row>
    <row r="44" spans="1:21" ht="12.95" customHeight="1" x14ac:dyDescent="0.2">
      <c r="A44" t="s">
        <v>12</v>
      </c>
      <c r="C44" s="10">
        <v>45485.462</v>
      </c>
      <c r="D44" s="10" t="s">
        <v>14</v>
      </c>
      <c r="E44">
        <f>+(C44-C$7)/C$8</f>
        <v>0</v>
      </c>
      <c r="F44">
        <f>ROUND(2*E44,0)/2</f>
        <v>0</v>
      </c>
      <c r="G44">
        <f>+C44-(C$7+F44*C$8)</f>
        <v>0</v>
      </c>
      <c r="H44">
        <f>+G44</f>
        <v>0</v>
      </c>
      <c r="O44">
        <f ca="1">+C$11+C$12*$F44</f>
        <v>1.6147185258911331E-2</v>
      </c>
      <c r="Q44" s="2">
        <f>+C44-15018.5</f>
        <v>30466.962</v>
      </c>
    </row>
    <row r="45" spans="1:21" ht="12.95" customHeight="1" x14ac:dyDescent="0.2">
      <c r="A45" s="43" t="s">
        <v>140</v>
      </c>
      <c r="B45" s="45" t="s">
        <v>39</v>
      </c>
      <c r="C45" s="44">
        <v>45971.298000000003</v>
      </c>
      <c r="D45" s="10"/>
      <c r="E45">
        <f>+(C45-C$7)/C$8</f>
        <v>131.00779813458584</v>
      </c>
      <c r="F45">
        <f>ROUND(2*E45,0)/2</f>
        <v>131</v>
      </c>
      <c r="G45">
        <f>+C45-(C$7+F45*C$8)</f>
        <v>2.8919000003952533E-2</v>
      </c>
      <c r="K45">
        <f>+G45</f>
        <v>2.8919000003952533E-2</v>
      </c>
      <c r="O45">
        <f ca="1">+C$11+C$12*$F45</f>
        <v>2.3144575114298405E-2</v>
      </c>
      <c r="Q45" s="2">
        <f>+C45-15018.5</f>
        <v>30952.798000000003</v>
      </c>
    </row>
    <row r="46" spans="1:21" ht="12.95" customHeight="1" x14ac:dyDescent="0.2">
      <c r="A46" s="43" t="s">
        <v>144</v>
      </c>
      <c r="B46" s="45" t="s">
        <v>39</v>
      </c>
      <c r="C46" s="44">
        <v>46327.298000000003</v>
      </c>
      <c r="D46" s="10"/>
      <c r="E46">
        <f>+(C46-C$7)/C$8</f>
        <v>227.00475211887738</v>
      </c>
      <c r="F46">
        <f>ROUND(2*E46,0)/2</f>
        <v>227</v>
      </c>
      <c r="G46">
        <f>+C46-(C$7+F46*C$8)</f>
        <v>1.7622999999730382E-2</v>
      </c>
      <c r="K46">
        <f>+G46</f>
        <v>1.7622999999730382E-2</v>
      </c>
      <c r="O46">
        <f ca="1">+C$11+C$12*$F46</f>
        <v>2.827243332893321E-2</v>
      </c>
      <c r="Q46" s="2">
        <f>+C46-15018.5</f>
        <v>31308.798000000003</v>
      </c>
    </row>
    <row r="47" spans="1:21" ht="12.95" customHeight="1" x14ac:dyDescent="0.2">
      <c r="A47" s="43" t="s">
        <v>148</v>
      </c>
      <c r="B47" s="45" t="s">
        <v>39</v>
      </c>
      <c r="C47" s="44">
        <v>46909.542999999998</v>
      </c>
      <c r="D47" s="10"/>
      <c r="E47">
        <f>+(C47-C$7)/C$8</f>
        <v>384.00965794074085</v>
      </c>
      <c r="F47">
        <f>ROUND(2*E47,0)/2</f>
        <v>384</v>
      </c>
      <c r="G47">
        <f>+C47-(C$7+F47*C$8)</f>
        <v>3.5815999995975289E-2</v>
      </c>
      <c r="K47">
        <f>+G47</f>
        <v>3.5815999995975289E-2</v>
      </c>
      <c r="O47">
        <f ca="1">+C$11+C$12*$F47</f>
        <v>3.6658618117450546E-2</v>
      </c>
      <c r="Q47" s="2">
        <f>+C47-15018.5</f>
        <v>31891.042999999998</v>
      </c>
    </row>
    <row r="48" spans="1:21" ht="12.95" customHeight="1" x14ac:dyDescent="0.2">
      <c r="A48" s="43" t="s">
        <v>152</v>
      </c>
      <c r="B48" s="45" t="s">
        <v>39</v>
      </c>
      <c r="C48" s="44">
        <v>48385.536</v>
      </c>
      <c r="D48" s="10"/>
      <c r="E48">
        <f>+(C48-C$7)/C$8</f>
        <v>782.01761328382133</v>
      </c>
      <c r="F48">
        <f>ROUND(2*E48,0)/2</f>
        <v>782</v>
      </c>
      <c r="G48">
        <f>+C48-(C$7+F48*C$8)</f>
        <v>6.5318000000843313E-2</v>
      </c>
      <c r="K48">
        <f>+G48</f>
        <v>6.5318000000843313E-2</v>
      </c>
      <c r="O48">
        <f ca="1">+C$11+C$12*$F48</f>
        <v>5.7917863632290664E-2</v>
      </c>
      <c r="Q48" s="2">
        <f>+C48-15018.5</f>
        <v>33367.036</v>
      </c>
    </row>
    <row r="49" spans="1:17" ht="12.95" customHeight="1" x14ac:dyDescent="0.2">
      <c r="A49" s="28" t="s">
        <v>38</v>
      </c>
      <c r="B49" s="29" t="s">
        <v>39</v>
      </c>
      <c r="C49" s="28">
        <v>54278.354999999981</v>
      </c>
      <c r="D49" s="28">
        <v>5.0000000000000001E-3</v>
      </c>
      <c r="E49">
        <f>+(C49-C$7)/C$8</f>
        <v>2371.0419795219032</v>
      </c>
      <c r="F49">
        <f>ROUND(2*E49,0)/2</f>
        <v>2371</v>
      </c>
      <c r="G49">
        <f>+C49-(C$7+F49*C$8)</f>
        <v>0.15567899998131907</v>
      </c>
      <c r="I49">
        <f>+G49</f>
        <v>0.15567899998131907</v>
      </c>
      <c r="O49">
        <f ca="1">+C$11+C$12*$F49</f>
        <v>0.14279460012244383</v>
      </c>
      <c r="Q49" s="2">
        <f>+C49-15018.5</f>
        <v>39259.854999999981</v>
      </c>
    </row>
    <row r="50" spans="1:17" ht="12.95" customHeight="1" x14ac:dyDescent="0.2">
      <c r="B50" s="3"/>
      <c r="C50" s="10"/>
      <c r="D50" s="10"/>
    </row>
    <row r="51" spans="1:17" ht="12.95" customHeight="1" x14ac:dyDescent="0.2">
      <c r="B51" s="3"/>
      <c r="C51" s="10"/>
      <c r="D51" s="10"/>
    </row>
    <row r="52" spans="1:17" ht="12.95" customHeight="1" x14ac:dyDescent="0.2">
      <c r="B52" s="3"/>
      <c r="C52" s="10"/>
      <c r="D52" s="10"/>
    </row>
    <row r="53" spans="1:17" ht="12.95" customHeight="1" x14ac:dyDescent="0.2">
      <c r="B53" s="3"/>
      <c r="C53" s="10"/>
      <c r="D53" s="10"/>
    </row>
    <row r="54" spans="1:17" ht="12.95" customHeight="1" x14ac:dyDescent="0.2">
      <c r="B54" s="3"/>
      <c r="C54" s="10"/>
      <c r="D54" s="10"/>
    </row>
    <row r="55" spans="1:17" ht="12.95" customHeight="1" x14ac:dyDescent="0.2">
      <c r="B55" s="3"/>
      <c r="C55" s="10"/>
      <c r="D55" s="10"/>
    </row>
    <row r="56" spans="1:17" ht="12.95" customHeight="1" x14ac:dyDescent="0.2">
      <c r="B56" s="3"/>
      <c r="C56" s="10"/>
      <c r="D56" s="10"/>
    </row>
    <row r="57" spans="1:17" ht="12.95" customHeight="1" x14ac:dyDescent="0.2">
      <c r="B57" s="3"/>
      <c r="C57" s="10"/>
      <c r="D57" s="10"/>
    </row>
    <row r="58" spans="1:17" ht="12.95" customHeight="1" x14ac:dyDescent="0.2">
      <c r="B58" s="3"/>
      <c r="C58" s="10"/>
      <c r="D58" s="10"/>
    </row>
    <row r="59" spans="1:17" ht="12.95" customHeight="1" x14ac:dyDescent="0.2">
      <c r="B59" s="3"/>
      <c r="C59" s="10"/>
      <c r="D59" s="10"/>
    </row>
    <row r="60" spans="1:17" ht="12.95" customHeight="1" x14ac:dyDescent="0.2">
      <c r="B60" s="3"/>
      <c r="C60" s="10"/>
      <c r="D60" s="10"/>
    </row>
    <row r="61" spans="1:17" ht="12.95" customHeight="1" x14ac:dyDescent="0.2">
      <c r="B61" s="3"/>
      <c r="C61" s="10"/>
      <c r="D61" s="10"/>
    </row>
    <row r="62" spans="1:17" ht="12.95" customHeight="1" x14ac:dyDescent="0.2">
      <c r="B62" s="3"/>
      <c r="C62" s="10"/>
      <c r="D62" s="10"/>
    </row>
    <row r="63" spans="1:17" ht="12.95" customHeight="1" x14ac:dyDescent="0.2">
      <c r="B63" s="3"/>
      <c r="C63" s="10"/>
      <c r="D63" s="10"/>
    </row>
    <row r="64" spans="1:17" ht="12.95" customHeight="1" x14ac:dyDescent="0.2">
      <c r="B64" s="3"/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AE62">
    <sortCondition ref="C21:C62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workbookViewId="0">
      <selection activeCell="A11" sqref="A11:C3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0" t="s">
        <v>40</v>
      </c>
      <c r="I1" s="31" t="s">
        <v>41</v>
      </c>
      <c r="J1" s="32" t="s">
        <v>42</v>
      </c>
    </row>
    <row r="2" spans="1:16" x14ac:dyDescent="0.2">
      <c r="I2" s="33" t="s">
        <v>43</v>
      </c>
      <c r="J2" s="34" t="s">
        <v>44</v>
      </c>
    </row>
    <row r="3" spans="1:16" x14ac:dyDescent="0.2">
      <c r="A3" s="35" t="s">
        <v>45</v>
      </c>
      <c r="I3" s="33" t="s">
        <v>46</v>
      </c>
      <c r="J3" s="34" t="s">
        <v>47</v>
      </c>
    </row>
    <row r="4" spans="1:16" x14ac:dyDescent="0.2">
      <c r="I4" s="33" t="s">
        <v>48</v>
      </c>
      <c r="J4" s="34" t="s">
        <v>47</v>
      </c>
    </row>
    <row r="5" spans="1:16" ht="13.5" thickBot="1" x14ac:dyDescent="0.25">
      <c r="I5" s="36" t="s">
        <v>49</v>
      </c>
      <c r="J5" s="37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38" si="0">P11</f>
        <v> AN 214.5 </v>
      </c>
      <c r="B11" s="3" t="str">
        <f t="shared" ref="B11:B38" si="1">IF(H11=INT(H11),"I","II")</f>
        <v>I</v>
      </c>
      <c r="C11" s="10">
        <f t="shared" ref="C11:C38" si="2">1*G11</f>
        <v>20664.45</v>
      </c>
      <c r="D11" s="12" t="str">
        <f t="shared" ref="D11:D38" si="3">VLOOKUP(F11,I$1:J$5,2,FALSE)</f>
        <v>vis</v>
      </c>
      <c r="E11" s="38">
        <f>VLOOKUP(C11,Active!C$21:E$972,3,FALSE)</f>
        <v>-6693.0942326054728</v>
      </c>
      <c r="F11" s="3" t="s">
        <v>49</v>
      </c>
      <c r="G11" s="12" t="str">
        <f t="shared" ref="G11:G38" si="4">MID(I11,3,LEN(I11)-3)</f>
        <v>20664.450</v>
      </c>
      <c r="H11" s="10">
        <f t="shared" ref="H11:H38" si="5">1*K11</f>
        <v>-6693</v>
      </c>
      <c r="I11" s="39" t="s">
        <v>52</v>
      </c>
      <c r="J11" s="40" t="s">
        <v>53</v>
      </c>
      <c r="K11" s="39">
        <v>-6693</v>
      </c>
      <c r="L11" s="39" t="s">
        <v>54</v>
      </c>
      <c r="M11" s="40" t="s">
        <v>55</v>
      </c>
      <c r="N11" s="40"/>
      <c r="O11" s="41" t="s">
        <v>56</v>
      </c>
      <c r="P11" s="41" t="s">
        <v>57</v>
      </c>
    </row>
    <row r="12" spans="1:16" ht="12.75" customHeight="1" thickBot="1" x14ac:dyDescent="0.25">
      <c r="A12" s="10" t="str">
        <f t="shared" si="0"/>
        <v> AN 214.5 </v>
      </c>
      <c r="B12" s="3" t="str">
        <f t="shared" si="1"/>
        <v>I</v>
      </c>
      <c r="C12" s="10">
        <f t="shared" si="2"/>
        <v>20753.45</v>
      </c>
      <c r="D12" s="12" t="str">
        <f t="shared" si="3"/>
        <v>vis</v>
      </c>
      <c r="E12" s="38">
        <f>VLOOKUP(C12,Active!C$21:E$972,3,FALSE)</f>
        <v>-6669.0949941093995</v>
      </c>
      <c r="F12" s="3" t="s">
        <v>49</v>
      </c>
      <c r="G12" s="12" t="str">
        <f t="shared" si="4"/>
        <v>20753.450</v>
      </c>
      <c r="H12" s="10">
        <f t="shared" si="5"/>
        <v>-6669</v>
      </c>
      <c r="I12" s="39" t="s">
        <v>58</v>
      </c>
      <c r="J12" s="40" t="s">
        <v>59</v>
      </c>
      <c r="K12" s="39">
        <v>-6669</v>
      </c>
      <c r="L12" s="39" t="s">
        <v>60</v>
      </c>
      <c r="M12" s="40" t="s">
        <v>55</v>
      </c>
      <c r="N12" s="40"/>
      <c r="O12" s="41" t="s">
        <v>56</v>
      </c>
      <c r="P12" s="41" t="s">
        <v>57</v>
      </c>
    </row>
    <row r="13" spans="1:16" ht="12.75" customHeight="1" thickBot="1" x14ac:dyDescent="0.25">
      <c r="A13" s="10" t="str">
        <f t="shared" si="0"/>
        <v> AN 214.5 </v>
      </c>
      <c r="B13" s="3" t="str">
        <f t="shared" si="1"/>
        <v>I</v>
      </c>
      <c r="C13" s="10">
        <f t="shared" si="2"/>
        <v>20953.764999999999</v>
      </c>
      <c r="D13" s="12" t="str">
        <f t="shared" si="3"/>
        <v>vis</v>
      </c>
      <c r="E13" s="38">
        <f>VLOOKUP(C13,Active!C$21:E$972,3,FALSE)</f>
        <v>-6615.0791799595027</v>
      </c>
      <c r="F13" s="3" t="s">
        <v>49</v>
      </c>
      <c r="G13" s="12" t="str">
        <f t="shared" si="4"/>
        <v>20953.765</v>
      </c>
      <c r="H13" s="10">
        <f t="shared" si="5"/>
        <v>-6615</v>
      </c>
      <c r="I13" s="39" t="s">
        <v>61</v>
      </c>
      <c r="J13" s="40" t="s">
        <v>62</v>
      </c>
      <c r="K13" s="39">
        <v>-6615</v>
      </c>
      <c r="L13" s="39" t="s">
        <v>63</v>
      </c>
      <c r="M13" s="40" t="s">
        <v>55</v>
      </c>
      <c r="N13" s="40"/>
      <c r="O13" s="41" t="s">
        <v>56</v>
      </c>
      <c r="P13" s="41" t="s">
        <v>57</v>
      </c>
    </row>
    <row r="14" spans="1:16" ht="12.75" customHeight="1" thickBot="1" x14ac:dyDescent="0.25">
      <c r="A14" s="10" t="str">
        <f t="shared" si="0"/>
        <v> AN 214.5 </v>
      </c>
      <c r="B14" s="3" t="str">
        <f t="shared" si="1"/>
        <v>I</v>
      </c>
      <c r="C14" s="10">
        <f t="shared" si="2"/>
        <v>21057.556</v>
      </c>
      <c r="D14" s="12" t="str">
        <f t="shared" si="3"/>
        <v>vis</v>
      </c>
      <c r="E14" s="38">
        <f>VLOOKUP(C14,Active!C$21:E$972,3,FALSE)</f>
        <v>-6587.0914837488745</v>
      </c>
      <c r="F14" s="3" t="s">
        <v>49</v>
      </c>
      <c r="G14" s="12" t="str">
        <f t="shared" si="4"/>
        <v>21057.556</v>
      </c>
      <c r="H14" s="10">
        <f t="shared" si="5"/>
        <v>-6587</v>
      </c>
      <c r="I14" s="39" t="s">
        <v>64</v>
      </c>
      <c r="J14" s="40" t="s">
        <v>65</v>
      </c>
      <c r="K14" s="39">
        <v>-6587</v>
      </c>
      <c r="L14" s="39" t="s">
        <v>66</v>
      </c>
      <c r="M14" s="40" t="s">
        <v>55</v>
      </c>
      <c r="N14" s="40"/>
      <c r="O14" s="41" t="s">
        <v>56</v>
      </c>
      <c r="P14" s="41" t="s">
        <v>57</v>
      </c>
    </row>
    <row r="15" spans="1:16" ht="12.75" customHeight="1" thickBot="1" x14ac:dyDescent="0.25">
      <c r="A15" s="10" t="str">
        <f t="shared" si="0"/>
        <v> AN 214.5 </v>
      </c>
      <c r="B15" s="3" t="str">
        <f t="shared" si="1"/>
        <v>I</v>
      </c>
      <c r="C15" s="10">
        <f t="shared" si="2"/>
        <v>21072.39</v>
      </c>
      <c r="D15" s="12" t="str">
        <f t="shared" si="3"/>
        <v>vis</v>
      </c>
      <c r="E15" s="38">
        <f>VLOOKUP(C15,Active!C$21:E$972,3,FALSE)</f>
        <v>-6583.0914308966194</v>
      </c>
      <c r="F15" s="3" t="s">
        <v>49</v>
      </c>
      <c r="G15" s="12" t="str">
        <f t="shared" si="4"/>
        <v>21072.390</v>
      </c>
      <c r="H15" s="10">
        <f t="shared" si="5"/>
        <v>-6583</v>
      </c>
      <c r="I15" s="39" t="s">
        <v>67</v>
      </c>
      <c r="J15" s="40" t="s">
        <v>68</v>
      </c>
      <c r="K15" s="39">
        <v>-6583</v>
      </c>
      <c r="L15" s="39" t="s">
        <v>66</v>
      </c>
      <c r="M15" s="40" t="s">
        <v>55</v>
      </c>
      <c r="N15" s="40"/>
      <c r="O15" s="41" t="s">
        <v>56</v>
      </c>
      <c r="P15" s="41" t="s">
        <v>57</v>
      </c>
    </row>
    <row r="16" spans="1:16" ht="12.75" customHeight="1" thickBot="1" x14ac:dyDescent="0.25">
      <c r="A16" s="10" t="str">
        <f t="shared" si="0"/>
        <v> AN 214.5 </v>
      </c>
      <c r="B16" s="3" t="str">
        <f t="shared" si="1"/>
        <v>I</v>
      </c>
      <c r="C16" s="10">
        <f t="shared" si="2"/>
        <v>21124.325000000001</v>
      </c>
      <c r="D16" s="12" t="str">
        <f t="shared" si="3"/>
        <v>vis</v>
      </c>
      <c r="E16" s="38">
        <f>VLOOKUP(C16,Active!C$21:E$972,3,FALSE)</f>
        <v>-6569.0869314438823</v>
      </c>
      <c r="F16" s="3" t="s">
        <v>49</v>
      </c>
      <c r="G16" s="12" t="str">
        <f t="shared" si="4"/>
        <v>21124.325</v>
      </c>
      <c r="H16" s="10">
        <f t="shared" si="5"/>
        <v>-6569</v>
      </c>
      <c r="I16" s="39" t="s">
        <v>69</v>
      </c>
      <c r="J16" s="40" t="s">
        <v>70</v>
      </c>
      <c r="K16" s="39">
        <v>-6569</v>
      </c>
      <c r="L16" s="39" t="s">
        <v>71</v>
      </c>
      <c r="M16" s="40" t="s">
        <v>55</v>
      </c>
      <c r="N16" s="40"/>
      <c r="O16" s="41" t="s">
        <v>56</v>
      </c>
      <c r="P16" s="41" t="s">
        <v>57</v>
      </c>
    </row>
    <row r="17" spans="1:16" ht="12.75" customHeight="1" thickBot="1" x14ac:dyDescent="0.25">
      <c r="A17" s="10" t="str">
        <f t="shared" si="0"/>
        <v> AN 214.5 </v>
      </c>
      <c r="B17" s="3" t="str">
        <f t="shared" si="1"/>
        <v>I</v>
      </c>
      <c r="C17" s="10">
        <f t="shared" si="2"/>
        <v>21376.48</v>
      </c>
      <c r="D17" s="12" t="str">
        <f t="shared" si="3"/>
        <v>vis</v>
      </c>
      <c r="E17" s="38">
        <f>VLOOKUP(C17,Active!C$21:E$972,3,FALSE)</f>
        <v>-6501.0922350059363</v>
      </c>
      <c r="F17" s="3" t="s">
        <v>49</v>
      </c>
      <c r="G17" s="12" t="str">
        <f t="shared" si="4"/>
        <v>21376.480</v>
      </c>
      <c r="H17" s="10">
        <f t="shared" si="5"/>
        <v>-6501</v>
      </c>
      <c r="I17" s="39" t="s">
        <v>72</v>
      </c>
      <c r="J17" s="40" t="s">
        <v>73</v>
      </c>
      <c r="K17" s="39">
        <v>-6501</v>
      </c>
      <c r="L17" s="39" t="s">
        <v>74</v>
      </c>
      <c r="M17" s="40" t="s">
        <v>55</v>
      </c>
      <c r="N17" s="40"/>
      <c r="O17" s="41" t="s">
        <v>56</v>
      </c>
      <c r="P17" s="41" t="s">
        <v>57</v>
      </c>
    </row>
    <row r="18" spans="1:16" ht="12.75" customHeight="1" thickBot="1" x14ac:dyDescent="0.25">
      <c r="A18" s="10" t="str">
        <f t="shared" si="0"/>
        <v> AN 214.5 </v>
      </c>
      <c r="B18" s="3" t="str">
        <f t="shared" si="1"/>
        <v>I</v>
      </c>
      <c r="C18" s="10">
        <f t="shared" si="2"/>
        <v>21480.331999999999</v>
      </c>
      <c r="D18" s="12" t="str">
        <f t="shared" si="3"/>
        <v>vis</v>
      </c>
      <c r="E18" s="38">
        <f>VLOOKUP(C18,Active!C$21:E$972,3,FALSE)</f>
        <v>-6473.0880898790356</v>
      </c>
      <c r="F18" s="3" t="s">
        <v>49</v>
      </c>
      <c r="G18" s="12" t="str">
        <f t="shared" si="4"/>
        <v>21480.332</v>
      </c>
      <c r="H18" s="10">
        <f t="shared" si="5"/>
        <v>-6473</v>
      </c>
      <c r="I18" s="39" t="s">
        <v>75</v>
      </c>
      <c r="J18" s="40" t="s">
        <v>76</v>
      </c>
      <c r="K18" s="39">
        <v>-6473</v>
      </c>
      <c r="L18" s="39" t="s">
        <v>77</v>
      </c>
      <c r="M18" s="40" t="s">
        <v>55</v>
      </c>
      <c r="N18" s="40"/>
      <c r="O18" s="41" t="s">
        <v>56</v>
      </c>
      <c r="P18" s="41" t="s">
        <v>57</v>
      </c>
    </row>
    <row r="19" spans="1:16" ht="12.75" customHeight="1" thickBot="1" x14ac:dyDescent="0.25">
      <c r="A19" s="10" t="str">
        <f t="shared" si="0"/>
        <v> AN 214.5 </v>
      </c>
      <c r="B19" s="3" t="str">
        <f t="shared" si="1"/>
        <v>I</v>
      </c>
      <c r="C19" s="10">
        <f t="shared" si="2"/>
        <v>21821.5</v>
      </c>
      <c r="D19" s="12" t="str">
        <f t="shared" si="3"/>
        <v>vis</v>
      </c>
      <c r="E19" s="38">
        <f>VLOOKUP(C19,Active!C$21:E$972,3,FALSE)</f>
        <v>-6381.0906494382689</v>
      </c>
      <c r="F19" s="3" t="s">
        <v>49</v>
      </c>
      <c r="G19" s="12" t="str">
        <f t="shared" si="4"/>
        <v>21821.500</v>
      </c>
      <c r="H19" s="10">
        <f t="shared" si="5"/>
        <v>-6381</v>
      </c>
      <c r="I19" s="39" t="s">
        <v>78</v>
      </c>
      <c r="J19" s="40" t="s">
        <v>79</v>
      </c>
      <c r="K19" s="39">
        <v>-6381</v>
      </c>
      <c r="L19" s="39" t="s">
        <v>80</v>
      </c>
      <c r="M19" s="40" t="s">
        <v>55</v>
      </c>
      <c r="N19" s="40"/>
      <c r="O19" s="41" t="s">
        <v>56</v>
      </c>
      <c r="P19" s="41" t="s">
        <v>57</v>
      </c>
    </row>
    <row r="20" spans="1:16" ht="12.75" customHeight="1" thickBot="1" x14ac:dyDescent="0.25">
      <c r="A20" s="10" t="str">
        <f t="shared" si="0"/>
        <v> SAC 7.68 </v>
      </c>
      <c r="B20" s="3" t="str">
        <f t="shared" si="1"/>
        <v>I</v>
      </c>
      <c r="C20" s="10">
        <f t="shared" si="2"/>
        <v>24647.345000000001</v>
      </c>
      <c r="D20" s="12" t="str">
        <f t="shared" si="3"/>
        <v>vis</v>
      </c>
      <c r="E20" s="38">
        <f>VLOOKUP(C20,Active!C$21:E$972,3,FALSE)</f>
        <v>-5619.0892100232677</v>
      </c>
      <c r="F20" s="3" t="s">
        <v>49</v>
      </c>
      <c r="G20" s="12" t="str">
        <f t="shared" si="4"/>
        <v>24647.345</v>
      </c>
      <c r="H20" s="10">
        <f t="shared" si="5"/>
        <v>-5619</v>
      </c>
      <c r="I20" s="39" t="s">
        <v>81</v>
      </c>
      <c r="J20" s="40" t="s">
        <v>82</v>
      </c>
      <c r="K20" s="39">
        <v>-5619</v>
      </c>
      <c r="L20" s="39" t="s">
        <v>83</v>
      </c>
      <c r="M20" s="40" t="s">
        <v>55</v>
      </c>
      <c r="N20" s="40"/>
      <c r="O20" s="41" t="s">
        <v>84</v>
      </c>
      <c r="P20" s="41" t="s">
        <v>85</v>
      </c>
    </row>
    <row r="21" spans="1:16" ht="12.75" customHeight="1" thickBot="1" x14ac:dyDescent="0.25">
      <c r="A21" s="10" t="str">
        <f t="shared" si="0"/>
        <v> AA 27.155 </v>
      </c>
      <c r="B21" s="3" t="str">
        <f t="shared" si="1"/>
        <v>I</v>
      </c>
      <c r="C21" s="10">
        <f t="shared" si="2"/>
        <v>28374.332999999999</v>
      </c>
      <c r="D21" s="12" t="str">
        <f t="shared" si="3"/>
        <v>vis</v>
      </c>
      <c r="E21" s="38">
        <f>VLOOKUP(C21,Active!C$21:E$972,3,FALSE)</f>
        <v>-4614.0906270569576</v>
      </c>
      <c r="F21" s="3" t="s">
        <v>49</v>
      </c>
      <c r="G21" s="12" t="str">
        <f t="shared" si="4"/>
        <v>28374.333</v>
      </c>
      <c r="H21" s="10">
        <f t="shared" si="5"/>
        <v>-4614</v>
      </c>
      <c r="I21" s="39" t="s">
        <v>86</v>
      </c>
      <c r="J21" s="40" t="s">
        <v>87</v>
      </c>
      <c r="K21" s="39">
        <v>-4614</v>
      </c>
      <c r="L21" s="39" t="s">
        <v>80</v>
      </c>
      <c r="M21" s="40" t="s">
        <v>55</v>
      </c>
      <c r="N21" s="40"/>
      <c r="O21" s="41" t="s">
        <v>84</v>
      </c>
      <c r="P21" s="41" t="s">
        <v>88</v>
      </c>
    </row>
    <row r="22" spans="1:16" ht="12.75" customHeight="1" thickBot="1" x14ac:dyDescent="0.25">
      <c r="A22" s="10" t="str">
        <f t="shared" si="0"/>
        <v> AA 27.155 </v>
      </c>
      <c r="B22" s="3" t="str">
        <f t="shared" si="1"/>
        <v>I</v>
      </c>
      <c r="C22" s="10">
        <f t="shared" si="2"/>
        <v>33336.400000000001</v>
      </c>
      <c r="D22" s="12" t="str">
        <f t="shared" si="3"/>
        <v>vis</v>
      </c>
      <c r="E22" s="38">
        <f>VLOOKUP(C22,Active!C$21:E$972,3,FALSE)</f>
        <v>-3276.0476004671486</v>
      </c>
      <c r="F22" s="3" t="s">
        <v>49</v>
      </c>
      <c r="G22" s="12" t="str">
        <f t="shared" si="4"/>
        <v>33336.400</v>
      </c>
      <c r="H22" s="10">
        <f t="shared" si="5"/>
        <v>-3276</v>
      </c>
      <c r="I22" s="39" t="s">
        <v>89</v>
      </c>
      <c r="J22" s="40" t="s">
        <v>90</v>
      </c>
      <c r="K22" s="39">
        <v>-3276</v>
      </c>
      <c r="L22" s="39" t="s">
        <v>91</v>
      </c>
      <c r="M22" s="40" t="s">
        <v>55</v>
      </c>
      <c r="N22" s="40"/>
      <c r="O22" s="41" t="s">
        <v>84</v>
      </c>
      <c r="P22" s="41" t="s">
        <v>88</v>
      </c>
    </row>
    <row r="23" spans="1:16" ht="12.75" customHeight="1" thickBot="1" x14ac:dyDescent="0.25">
      <c r="A23" s="10" t="str">
        <f t="shared" si="0"/>
        <v> BBS 16 </v>
      </c>
      <c r="B23" s="3" t="str">
        <f t="shared" si="1"/>
        <v>I</v>
      </c>
      <c r="C23" s="10">
        <f t="shared" si="2"/>
        <v>42255.392999999996</v>
      </c>
      <c r="D23" s="12" t="str">
        <f t="shared" si="3"/>
        <v>vis</v>
      </c>
      <c r="E23" s="38">
        <f>VLOOKUP(C23,Active!C$21:E$972,3,FALSE)</f>
        <v>-871.00220550305312</v>
      </c>
      <c r="F23" s="3" t="s">
        <v>49</v>
      </c>
      <c r="G23" s="12" t="str">
        <f t="shared" si="4"/>
        <v>42255.393</v>
      </c>
      <c r="H23" s="10">
        <f t="shared" si="5"/>
        <v>-871</v>
      </c>
      <c r="I23" s="39" t="s">
        <v>92</v>
      </c>
      <c r="J23" s="40" t="s">
        <v>93</v>
      </c>
      <c r="K23" s="39">
        <v>-871</v>
      </c>
      <c r="L23" s="39" t="s">
        <v>94</v>
      </c>
      <c r="M23" s="40" t="s">
        <v>55</v>
      </c>
      <c r="N23" s="40"/>
      <c r="O23" s="41" t="s">
        <v>95</v>
      </c>
      <c r="P23" s="41" t="s">
        <v>96</v>
      </c>
    </row>
    <row r="24" spans="1:16" ht="12.75" customHeight="1" thickBot="1" x14ac:dyDescent="0.25">
      <c r="A24" s="10" t="str">
        <f t="shared" si="0"/>
        <v> SAC 53.98 </v>
      </c>
      <c r="B24" s="3" t="str">
        <f t="shared" si="1"/>
        <v>I</v>
      </c>
      <c r="C24" s="10">
        <f t="shared" si="2"/>
        <v>42900.398999999998</v>
      </c>
      <c r="D24" s="12" t="str">
        <f t="shared" si="3"/>
        <v>vis</v>
      </c>
      <c r="E24" s="38">
        <f>VLOOKUP(C24,Active!C$21:E$972,3,FALSE)</f>
        <v>-697.07352207161478</v>
      </c>
      <c r="F24" s="3" t="s">
        <v>49</v>
      </c>
      <c r="G24" s="12" t="str">
        <f t="shared" si="4"/>
        <v>42900.399</v>
      </c>
      <c r="H24" s="10">
        <f t="shared" si="5"/>
        <v>-697</v>
      </c>
      <c r="I24" s="39" t="s">
        <v>97</v>
      </c>
      <c r="J24" s="40" t="s">
        <v>98</v>
      </c>
      <c r="K24" s="39">
        <v>-697</v>
      </c>
      <c r="L24" s="39" t="s">
        <v>99</v>
      </c>
      <c r="M24" s="40" t="s">
        <v>55</v>
      </c>
      <c r="N24" s="40"/>
      <c r="O24" s="41" t="s">
        <v>100</v>
      </c>
      <c r="P24" s="41" t="s">
        <v>101</v>
      </c>
    </row>
    <row r="25" spans="1:16" ht="12.75" customHeight="1" thickBot="1" x14ac:dyDescent="0.25">
      <c r="A25" s="10" t="str">
        <f t="shared" si="0"/>
        <v> BBS 29 </v>
      </c>
      <c r="B25" s="3" t="str">
        <f t="shared" si="1"/>
        <v>I</v>
      </c>
      <c r="C25" s="10">
        <f t="shared" si="2"/>
        <v>42993.38</v>
      </c>
      <c r="D25" s="12" t="str">
        <f t="shared" si="3"/>
        <v>vis</v>
      </c>
      <c r="E25" s="38">
        <f>VLOOKUP(C25,Active!C$21:E$972,3,FALSE)</f>
        <v>-672.00078954798164</v>
      </c>
      <c r="F25" s="3" t="s">
        <v>49</v>
      </c>
      <c r="G25" s="12" t="str">
        <f t="shared" si="4"/>
        <v>42993.380</v>
      </c>
      <c r="H25" s="10">
        <f t="shared" si="5"/>
        <v>-672</v>
      </c>
      <c r="I25" s="39" t="s">
        <v>102</v>
      </c>
      <c r="J25" s="40" t="s">
        <v>103</v>
      </c>
      <c r="K25" s="39">
        <v>-672</v>
      </c>
      <c r="L25" s="39" t="s">
        <v>51</v>
      </c>
      <c r="M25" s="40" t="s">
        <v>55</v>
      </c>
      <c r="N25" s="40"/>
      <c r="O25" s="41" t="s">
        <v>95</v>
      </c>
      <c r="P25" s="41" t="s">
        <v>104</v>
      </c>
    </row>
    <row r="26" spans="1:16" ht="12.75" customHeight="1" thickBot="1" x14ac:dyDescent="0.25">
      <c r="A26" s="10" t="str">
        <f t="shared" si="0"/>
        <v> BBS 34 </v>
      </c>
      <c r="B26" s="3" t="str">
        <f t="shared" si="1"/>
        <v>I</v>
      </c>
      <c r="C26" s="10">
        <f t="shared" si="2"/>
        <v>43349.39</v>
      </c>
      <c r="D26" s="12" t="str">
        <f t="shared" si="3"/>
        <v>vis</v>
      </c>
      <c r="E26" s="38">
        <f>VLOOKUP(C26,Active!C$21:E$972,3,FALSE)</f>
        <v>-576.00113902003829</v>
      </c>
      <c r="F26" s="3" t="s">
        <v>49</v>
      </c>
      <c r="G26" s="12" t="str">
        <f t="shared" si="4"/>
        <v>43349.390</v>
      </c>
      <c r="H26" s="10">
        <f t="shared" si="5"/>
        <v>-576</v>
      </c>
      <c r="I26" s="39" t="s">
        <v>105</v>
      </c>
      <c r="J26" s="40" t="s">
        <v>106</v>
      </c>
      <c r="K26" s="39">
        <v>-576</v>
      </c>
      <c r="L26" s="39" t="s">
        <v>107</v>
      </c>
      <c r="M26" s="40" t="s">
        <v>55</v>
      </c>
      <c r="N26" s="40"/>
      <c r="O26" s="41" t="s">
        <v>108</v>
      </c>
      <c r="P26" s="41" t="s">
        <v>109</v>
      </c>
    </row>
    <row r="27" spans="1:16" ht="12.75" customHeight="1" thickBot="1" x14ac:dyDescent="0.25">
      <c r="A27" s="10" t="str">
        <f t="shared" si="0"/>
        <v> BBS 37 </v>
      </c>
      <c r="B27" s="3" t="str">
        <f t="shared" si="1"/>
        <v>I</v>
      </c>
      <c r="C27" s="10">
        <f t="shared" si="2"/>
        <v>43627.521000000001</v>
      </c>
      <c r="D27" s="12" t="str">
        <f t="shared" si="3"/>
        <v>vis</v>
      </c>
      <c r="E27" s="38">
        <f>VLOOKUP(C27,Active!C$21:E$972,3,FALSE)</f>
        <v>-501.00190079361943</v>
      </c>
      <c r="F27" s="3" t="s">
        <v>49</v>
      </c>
      <c r="G27" s="12" t="str">
        <f t="shared" si="4"/>
        <v>43627.521</v>
      </c>
      <c r="H27" s="10">
        <f t="shared" si="5"/>
        <v>-501</v>
      </c>
      <c r="I27" s="39" t="s">
        <v>110</v>
      </c>
      <c r="J27" s="40" t="s">
        <v>111</v>
      </c>
      <c r="K27" s="39">
        <v>-501</v>
      </c>
      <c r="L27" s="39" t="s">
        <v>112</v>
      </c>
      <c r="M27" s="40" t="s">
        <v>55</v>
      </c>
      <c r="N27" s="40"/>
      <c r="O27" s="41" t="s">
        <v>108</v>
      </c>
      <c r="P27" s="41" t="s">
        <v>113</v>
      </c>
    </row>
    <row r="28" spans="1:16" ht="12.75" customHeight="1" thickBot="1" x14ac:dyDescent="0.25">
      <c r="A28" s="10" t="str">
        <f t="shared" si="0"/>
        <v> BBS 43 </v>
      </c>
      <c r="B28" s="3" t="str">
        <f t="shared" si="1"/>
        <v>I</v>
      </c>
      <c r="C28" s="10">
        <f t="shared" si="2"/>
        <v>43983.527999999998</v>
      </c>
      <c r="D28" s="12" t="str">
        <f t="shared" si="3"/>
        <v>vis</v>
      </c>
      <c r="E28" s="38">
        <f>VLOOKUP(C28,Active!C$21:E$972,3,FALSE)</f>
        <v>-405.0030592287726</v>
      </c>
      <c r="F28" s="3" t="s">
        <v>49</v>
      </c>
      <c r="G28" s="12" t="str">
        <f t="shared" si="4"/>
        <v>43983.528</v>
      </c>
      <c r="H28" s="10">
        <f t="shared" si="5"/>
        <v>-405</v>
      </c>
      <c r="I28" s="39" t="s">
        <v>114</v>
      </c>
      <c r="J28" s="40" t="s">
        <v>115</v>
      </c>
      <c r="K28" s="39">
        <v>-405</v>
      </c>
      <c r="L28" s="39" t="s">
        <v>116</v>
      </c>
      <c r="M28" s="40" t="s">
        <v>55</v>
      </c>
      <c r="N28" s="40"/>
      <c r="O28" s="41" t="s">
        <v>108</v>
      </c>
      <c r="P28" s="41" t="s">
        <v>117</v>
      </c>
    </row>
    <row r="29" spans="1:16" ht="12.75" customHeight="1" thickBot="1" x14ac:dyDescent="0.25">
      <c r="A29" s="10" t="str">
        <f t="shared" si="0"/>
        <v> BBS 44 </v>
      </c>
      <c r="B29" s="3" t="str">
        <f t="shared" si="1"/>
        <v>I</v>
      </c>
      <c r="C29" s="10">
        <f t="shared" si="2"/>
        <v>44087.364000000001</v>
      </c>
      <c r="D29" s="12" t="str">
        <f t="shared" si="3"/>
        <v>vis</v>
      </c>
      <c r="E29" s="38">
        <f>VLOOKUP(C29,Active!C$21:E$972,3,FALSE)</f>
        <v>-377.00322857171312</v>
      </c>
      <c r="F29" s="3" t="s">
        <v>49</v>
      </c>
      <c r="G29" s="12" t="str">
        <f t="shared" si="4"/>
        <v>44087.364</v>
      </c>
      <c r="H29" s="10">
        <f t="shared" si="5"/>
        <v>-377</v>
      </c>
      <c r="I29" s="39" t="s">
        <v>118</v>
      </c>
      <c r="J29" s="40" t="s">
        <v>119</v>
      </c>
      <c r="K29" s="39">
        <v>-377</v>
      </c>
      <c r="L29" s="39" t="s">
        <v>120</v>
      </c>
      <c r="M29" s="40" t="s">
        <v>55</v>
      </c>
      <c r="N29" s="40"/>
      <c r="O29" s="41" t="s">
        <v>108</v>
      </c>
      <c r="P29" s="41" t="s">
        <v>121</v>
      </c>
    </row>
    <row r="30" spans="1:16" ht="12.75" customHeight="1" thickBot="1" x14ac:dyDescent="0.25">
      <c r="A30" s="10" t="str">
        <f t="shared" si="0"/>
        <v> BBS 48 </v>
      </c>
      <c r="B30" s="3" t="str">
        <f t="shared" si="1"/>
        <v>I</v>
      </c>
      <c r="C30" s="10">
        <f t="shared" si="2"/>
        <v>44402.589</v>
      </c>
      <c r="D30" s="12" t="str">
        <f t="shared" si="3"/>
        <v>vis</v>
      </c>
      <c r="E30" s="38">
        <f>VLOOKUP(C30,Active!C$21:E$972,3,FALSE)</f>
        <v>-292.00143132536994</v>
      </c>
      <c r="F30" s="3" t="s">
        <v>49</v>
      </c>
      <c r="G30" s="12" t="str">
        <f t="shared" si="4"/>
        <v>44402.589</v>
      </c>
      <c r="H30" s="10">
        <f t="shared" si="5"/>
        <v>-292</v>
      </c>
      <c r="I30" s="39" t="s">
        <v>122</v>
      </c>
      <c r="J30" s="40" t="s">
        <v>123</v>
      </c>
      <c r="K30" s="39">
        <v>-292</v>
      </c>
      <c r="L30" s="39" t="s">
        <v>124</v>
      </c>
      <c r="M30" s="40" t="s">
        <v>55</v>
      </c>
      <c r="N30" s="40"/>
      <c r="O30" s="41" t="s">
        <v>108</v>
      </c>
      <c r="P30" s="41" t="s">
        <v>125</v>
      </c>
    </row>
    <row r="31" spans="1:16" ht="12.75" customHeight="1" thickBot="1" x14ac:dyDescent="0.25">
      <c r="A31" s="10" t="str">
        <f t="shared" si="0"/>
        <v> BBS 60 </v>
      </c>
      <c r="B31" s="3" t="str">
        <f t="shared" si="1"/>
        <v>I</v>
      </c>
      <c r="C31" s="10">
        <f t="shared" si="2"/>
        <v>45077.55</v>
      </c>
      <c r="D31" s="12" t="str">
        <f t="shared" si="3"/>
        <v>vis</v>
      </c>
      <c r="E31" s="38">
        <f>VLOOKUP(C31,Active!C$21:E$972,3,FALSE)</f>
        <v>-109.99525138662925</v>
      </c>
      <c r="F31" s="3" t="s">
        <v>49</v>
      </c>
      <c r="G31" s="12" t="str">
        <f t="shared" si="4"/>
        <v>45077.550</v>
      </c>
      <c r="H31" s="10">
        <f t="shared" si="5"/>
        <v>-110</v>
      </c>
      <c r="I31" s="39" t="s">
        <v>126</v>
      </c>
      <c r="J31" s="40" t="s">
        <v>127</v>
      </c>
      <c r="K31" s="39">
        <v>-110</v>
      </c>
      <c r="L31" s="39" t="s">
        <v>128</v>
      </c>
      <c r="M31" s="40" t="s">
        <v>55</v>
      </c>
      <c r="N31" s="40"/>
      <c r="O31" s="41" t="s">
        <v>108</v>
      </c>
      <c r="P31" s="41" t="s">
        <v>129</v>
      </c>
    </row>
    <row r="32" spans="1:16" ht="12.75" customHeight="1" thickBot="1" x14ac:dyDescent="0.25">
      <c r="A32" s="10" t="str">
        <f t="shared" si="0"/>
        <v> BBS 60 </v>
      </c>
      <c r="B32" s="3" t="str">
        <f t="shared" si="1"/>
        <v>I</v>
      </c>
      <c r="C32" s="10">
        <f t="shared" si="2"/>
        <v>45103.491000000002</v>
      </c>
      <c r="D32" s="12" t="str">
        <f t="shared" si="3"/>
        <v>vis</v>
      </c>
      <c r="E32" s="38">
        <f>VLOOKUP(C32,Active!C$21:E$972,3,FALSE)</f>
        <v>-103.0001475009371</v>
      </c>
      <c r="F32" s="3" t="s">
        <v>49</v>
      </c>
      <c r="G32" s="12" t="str">
        <f t="shared" si="4"/>
        <v>45103.491</v>
      </c>
      <c r="H32" s="10">
        <f t="shared" si="5"/>
        <v>-103</v>
      </c>
      <c r="I32" s="39" t="s">
        <v>130</v>
      </c>
      <c r="J32" s="40" t="s">
        <v>131</v>
      </c>
      <c r="K32" s="39">
        <v>-103</v>
      </c>
      <c r="L32" s="39" t="s">
        <v>132</v>
      </c>
      <c r="M32" s="40" t="s">
        <v>55</v>
      </c>
      <c r="N32" s="40"/>
      <c r="O32" s="41" t="s">
        <v>133</v>
      </c>
      <c r="P32" s="41" t="s">
        <v>129</v>
      </c>
    </row>
    <row r="33" spans="1:16" ht="12.75" customHeight="1" thickBot="1" x14ac:dyDescent="0.25">
      <c r="A33" s="10" t="str">
        <f t="shared" si="0"/>
        <v> BBS 66 </v>
      </c>
      <c r="B33" s="3" t="str">
        <f t="shared" si="1"/>
        <v>I</v>
      </c>
      <c r="C33" s="10">
        <f t="shared" si="2"/>
        <v>45485.459000000003</v>
      </c>
      <c r="D33" s="12" t="str">
        <f t="shared" si="3"/>
        <v>vis</v>
      </c>
      <c r="E33" s="38">
        <f>VLOOKUP(C33,Active!C$21:E$972,3,FALSE)</f>
        <v>-8.0896309455705403E-4</v>
      </c>
      <c r="F33" s="3" t="s">
        <v>49</v>
      </c>
      <c r="G33" s="12" t="str">
        <f t="shared" si="4"/>
        <v>45485.459</v>
      </c>
      <c r="H33" s="10">
        <f t="shared" si="5"/>
        <v>0</v>
      </c>
      <c r="I33" s="39" t="s">
        <v>134</v>
      </c>
      <c r="J33" s="40" t="s">
        <v>135</v>
      </c>
      <c r="K33" s="39">
        <v>0</v>
      </c>
      <c r="L33" s="39" t="s">
        <v>51</v>
      </c>
      <c r="M33" s="40" t="s">
        <v>55</v>
      </c>
      <c r="N33" s="40"/>
      <c r="O33" s="41" t="s">
        <v>108</v>
      </c>
      <c r="P33" s="41" t="s">
        <v>136</v>
      </c>
    </row>
    <row r="34" spans="1:16" ht="12.75" customHeight="1" thickBot="1" x14ac:dyDescent="0.25">
      <c r="A34" s="10" t="str">
        <f t="shared" si="0"/>
        <v> BBS 74 </v>
      </c>
      <c r="B34" s="3" t="str">
        <f t="shared" si="1"/>
        <v>I</v>
      </c>
      <c r="C34" s="10">
        <f t="shared" si="2"/>
        <v>45971.298000000003</v>
      </c>
      <c r="D34" s="12" t="str">
        <f t="shared" si="3"/>
        <v>vis</v>
      </c>
      <c r="E34" s="38">
        <f>VLOOKUP(C34,Active!C$21:E$972,3,FALSE)</f>
        <v>131.00779813458584</v>
      </c>
      <c r="F34" s="3" t="s">
        <v>49</v>
      </c>
      <c r="G34" s="12" t="str">
        <f t="shared" si="4"/>
        <v>45971.298</v>
      </c>
      <c r="H34" s="10">
        <f t="shared" si="5"/>
        <v>131</v>
      </c>
      <c r="I34" s="39" t="s">
        <v>137</v>
      </c>
      <c r="J34" s="40" t="s">
        <v>138</v>
      </c>
      <c r="K34" s="39">
        <v>131</v>
      </c>
      <c r="L34" s="39" t="s">
        <v>139</v>
      </c>
      <c r="M34" s="40" t="s">
        <v>55</v>
      </c>
      <c r="N34" s="40"/>
      <c r="O34" s="41" t="s">
        <v>108</v>
      </c>
      <c r="P34" s="41" t="s">
        <v>140</v>
      </c>
    </row>
    <row r="35" spans="1:16" ht="12.75" customHeight="1" thickBot="1" x14ac:dyDescent="0.25">
      <c r="A35" s="10" t="str">
        <f t="shared" si="0"/>
        <v> BBS 78 </v>
      </c>
      <c r="B35" s="3" t="str">
        <f t="shared" si="1"/>
        <v>I</v>
      </c>
      <c r="C35" s="10">
        <f t="shared" si="2"/>
        <v>46327.298000000003</v>
      </c>
      <c r="D35" s="12" t="str">
        <f t="shared" si="3"/>
        <v>vis</v>
      </c>
      <c r="E35" s="38">
        <f>VLOOKUP(C35,Active!C$21:E$972,3,FALSE)</f>
        <v>227.00475211887738</v>
      </c>
      <c r="F35" s="3" t="s">
        <v>49</v>
      </c>
      <c r="G35" s="12" t="str">
        <f t="shared" si="4"/>
        <v>46327.298</v>
      </c>
      <c r="H35" s="10">
        <f t="shared" si="5"/>
        <v>227</v>
      </c>
      <c r="I35" s="39" t="s">
        <v>141</v>
      </c>
      <c r="J35" s="40" t="s">
        <v>142</v>
      </c>
      <c r="K35" s="39">
        <v>227</v>
      </c>
      <c r="L35" s="39" t="s">
        <v>128</v>
      </c>
      <c r="M35" s="40" t="s">
        <v>55</v>
      </c>
      <c r="N35" s="40"/>
      <c r="O35" s="41" t="s">
        <v>143</v>
      </c>
      <c r="P35" s="41" t="s">
        <v>144</v>
      </c>
    </row>
    <row r="36" spans="1:16" ht="12.75" customHeight="1" thickBot="1" x14ac:dyDescent="0.25">
      <c r="A36" s="10" t="str">
        <f t="shared" si="0"/>
        <v> BBS 83 </v>
      </c>
      <c r="B36" s="3" t="str">
        <f t="shared" si="1"/>
        <v>I</v>
      </c>
      <c r="C36" s="10">
        <f t="shared" si="2"/>
        <v>46909.542999999998</v>
      </c>
      <c r="D36" s="12" t="str">
        <f t="shared" si="3"/>
        <v>vis</v>
      </c>
      <c r="E36" s="38">
        <f>VLOOKUP(C36,Active!C$21:E$972,3,FALSE)</f>
        <v>384.00965794074085</v>
      </c>
      <c r="F36" s="3" t="s">
        <v>49</v>
      </c>
      <c r="G36" s="12" t="str">
        <f t="shared" si="4"/>
        <v>46909.543</v>
      </c>
      <c r="H36" s="10">
        <f t="shared" si="5"/>
        <v>384</v>
      </c>
      <c r="I36" s="39" t="s">
        <v>145</v>
      </c>
      <c r="J36" s="40" t="s">
        <v>146</v>
      </c>
      <c r="K36" s="39">
        <v>384</v>
      </c>
      <c r="L36" s="39" t="s">
        <v>147</v>
      </c>
      <c r="M36" s="40" t="s">
        <v>55</v>
      </c>
      <c r="N36" s="40"/>
      <c r="O36" s="41" t="s">
        <v>108</v>
      </c>
      <c r="P36" s="41" t="s">
        <v>148</v>
      </c>
    </row>
    <row r="37" spans="1:16" ht="12.75" customHeight="1" thickBot="1" x14ac:dyDescent="0.25">
      <c r="A37" s="10" t="str">
        <f t="shared" si="0"/>
        <v> BBS 98 </v>
      </c>
      <c r="B37" s="3" t="str">
        <f t="shared" si="1"/>
        <v>I</v>
      </c>
      <c r="C37" s="10">
        <f t="shared" si="2"/>
        <v>48385.536</v>
      </c>
      <c r="D37" s="12" t="str">
        <f t="shared" si="3"/>
        <v>vis</v>
      </c>
      <c r="E37" s="38">
        <f>VLOOKUP(C37,Active!C$21:E$972,3,FALSE)</f>
        <v>782.01761328382133</v>
      </c>
      <c r="F37" s="3" t="s">
        <v>49</v>
      </c>
      <c r="G37" s="12" t="str">
        <f t="shared" si="4"/>
        <v>48385.536</v>
      </c>
      <c r="H37" s="10">
        <f t="shared" si="5"/>
        <v>782</v>
      </c>
      <c r="I37" s="39" t="s">
        <v>149</v>
      </c>
      <c r="J37" s="40" t="s">
        <v>150</v>
      </c>
      <c r="K37" s="39">
        <v>782</v>
      </c>
      <c r="L37" s="39" t="s">
        <v>151</v>
      </c>
      <c r="M37" s="40" t="s">
        <v>55</v>
      </c>
      <c r="N37" s="40"/>
      <c r="O37" s="41" t="s">
        <v>108</v>
      </c>
      <c r="P37" s="41" t="s">
        <v>152</v>
      </c>
    </row>
    <row r="38" spans="1:16" ht="12.75" customHeight="1" thickBot="1" x14ac:dyDescent="0.25">
      <c r="A38" s="10" t="str">
        <f t="shared" si="0"/>
        <v>OEJV 0073 </v>
      </c>
      <c r="B38" s="3" t="str">
        <f t="shared" si="1"/>
        <v>I</v>
      </c>
      <c r="C38" s="10">
        <f t="shared" si="2"/>
        <v>54278.355000000003</v>
      </c>
      <c r="D38" s="12" t="str">
        <f t="shared" si="3"/>
        <v>vis</v>
      </c>
      <c r="E38" s="38" t="e">
        <f>VLOOKUP(C38,Active!C$21:E$972,3,FALSE)</f>
        <v>#N/A</v>
      </c>
      <c r="F38" s="3" t="s">
        <v>49</v>
      </c>
      <c r="G38" s="12" t="str">
        <f t="shared" si="4"/>
        <v>54278.355</v>
      </c>
      <c r="H38" s="10">
        <f t="shared" si="5"/>
        <v>2371</v>
      </c>
      <c r="I38" s="39" t="s">
        <v>153</v>
      </c>
      <c r="J38" s="40" t="s">
        <v>154</v>
      </c>
      <c r="K38" s="39">
        <v>2371</v>
      </c>
      <c r="L38" s="39" t="s">
        <v>155</v>
      </c>
      <c r="M38" s="40" t="s">
        <v>156</v>
      </c>
      <c r="N38" s="40" t="s">
        <v>157</v>
      </c>
      <c r="O38" s="41" t="s">
        <v>158</v>
      </c>
      <c r="P38" s="42" t="s">
        <v>159</v>
      </c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</sheetData>
  <phoneticPr fontId="8" type="noConversion"/>
  <hyperlinks>
    <hyperlink ref="P38" r:id="rId1" display="http://var.astro.cz/oejv/issues/oejv0073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2024-02-25T06:48:42Z</dcterms:modified>
</cp:coreProperties>
</file>