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E626EF3-7F1B-487A-BF7F-E4F7935CC48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42" i="1"/>
  <c r="Q46" i="1"/>
  <c r="G29" i="2"/>
  <c r="C29" i="2"/>
  <c r="G36" i="2"/>
  <c r="C36" i="2"/>
  <c r="G28" i="2"/>
  <c r="C28" i="2"/>
  <c r="G27" i="2"/>
  <c r="C27" i="2"/>
  <c r="G26" i="2"/>
  <c r="C26" i="2"/>
  <c r="G35" i="2"/>
  <c r="C3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4" i="2"/>
  <c r="C34" i="2"/>
  <c r="G33" i="2"/>
  <c r="C33" i="2"/>
  <c r="G32" i="2"/>
  <c r="C32" i="2"/>
  <c r="G31" i="2"/>
  <c r="C31" i="2"/>
  <c r="G30" i="2"/>
  <c r="C30" i="2"/>
  <c r="H29" i="2"/>
  <c r="D29" i="2"/>
  <c r="B29" i="2"/>
  <c r="A29" i="2"/>
  <c r="H36" i="2"/>
  <c r="B36" i="2"/>
  <c r="D36" i="2"/>
  <c r="A36" i="2"/>
  <c r="H28" i="2"/>
  <c r="D28" i="2"/>
  <c r="B28" i="2"/>
  <c r="A28" i="2"/>
  <c r="H27" i="2"/>
  <c r="B27" i="2"/>
  <c r="D27" i="2"/>
  <c r="A27" i="2"/>
  <c r="H26" i="2"/>
  <c r="D26" i="2"/>
  <c r="B26" i="2"/>
  <c r="A26" i="2"/>
  <c r="H35" i="2"/>
  <c r="B35" i="2"/>
  <c r="D35" i="2"/>
  <c r="A35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Q47" i="1"/>
  <c r="Q45" i="1"/>
  <c r="F16" i="1"/>
  <c r="C17" i="1"/>
  <c r="Q43" i="1"/>
  <c r="Q44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C8" i="1"/>
  <c r="C7" i="1"/>
  <c r="E21" i="1"/>
  <c r="F21" i="1"/>
  <c r="Q31" i="1"/>
  <c r="E11" i="2"/>
  <c r="E30" i="2"/>
  <c r="E26" i="2"/>
  <c r="E28" i="2"/>
  <c r="E23" i="2"/>
  <c r="E47" i="1"/>
  <c r="F47" i="1"/>
  <c r="E37" i="1"/>
  <c r="F37" i="1"/>
  <c r="E29" i="1"/>
  <c r="F29" i="1"/>
  <c r="G29" i="1"/>
  <c r="I29" i="1"/>
  <c r="E23" i="1"/>
  <c r="F23" i="1"/>
  <c r="G45" i="1"/>
  <c r="J45" i="1"/>
  <c r="E43" i="1"/>
  <c r="F43" i="1"/>
  <c r="E34" i="1"/>
  <c r="F34" i="1"/>
  <c r="G28" i="1"/>
  <c r="I28" i="1"/>
  <c r="E26" i="1"/>
  <c r="F26" i="1"/>
  <c r="G41" i="1"/>
  <c r="K41" i="1"/>
  <c r="E39" i="1"/>
  <c r="F39" i="1"/>
  <c r="G39" i="1"/>
  <c r="K39" i="1"/>
  <c r="E31" i="1"/>
  <c r="F31" i="1"/>
  <c r="G31" i="1"/>
  <c r="H31" i="1"/>
  <c r="G46" i="1"/>
  <c r="K46" i="1"/>
  <c r="E25" i="1"/>
  <c r="F25" i="1"/>
  <c r="G25" i="1"/>
  <c r="I25" i="1"/>
  <c r="E45" i="1"/>
  <c r="F45" i="1"/>
  <c r="E36" i="1"/>
  <c r="F36" i="1"/>
  <c r="G36" i="1"/>
  <c r="I36" i="1"/>
  <c r="E28" i="1"/>
  <c r="F28" i="1"/>
  <c r="E22" i="1"/>
  <c r="F22" i="1"/>
  <c r="G22" i="1"/>
  <c r="I22" i="1"/>
  <c r="E41" i="1"/>
  <c r="F41" i="1"/>
  <c r="G35" i="1"/>
  <c r="I35" i="1"/>
  <c r="E33" i="1"/>
  <c r="F33" i="1"/>
  <c r="G33" i="1"/>
  <c r="I33" i="1"/>
  <c r="E46" i="1"/>
  <c r="F46" i="1"/>
  <c r="E38" i="1"/>
  <c r="F38" i="1"/>
  <c r="G38" i="1"/>
  <c r="K38" i="1"/>
  <c r="E30" i="1"/>
  <c r="F30" i="1"/>
  <c r="G30" i="1"/>
  <c r="I30" i="1"/>
  <c r="E24" i="1"/>
  <c r="F24" i="1"/>
  <c r="G24" i="1"/>
  <c r="I24" i="1"/>
  <c r="G21" i="1"/>
  <c r="I21" i="1"/>
  <c r="G47" i="1"/>
  <c r="J47" i="1"/>
  <c r="E44" i="1"/>
  <c r="F44" i="1"/>
  <c r="G44" i="1"/>
  <c r="J44" i="1"/>
  <c r="G37" i="1"/>
  <c r="N37" i="1"/>
  <c r="E35" i="1"/>
  <c r="F35" i="1"/>
  <c r="E27" i="1"/>
  <c r="F27" i="1"/>
  <c r="G27" i="1"/>
  <c r="I27" i="1"/>
  <c r="G23" i="1"/>
  <c r="I23" i="1"/>
  <c r="G43" i="1"/>
  <c r="J43" i="1"/>
  <c r="E40" i="1"/>
  <c r="F40" i="1"/>
  <c r="G40" i="1"/>
  <c r="K40" i="1"/>
  <c r="G34" i="1"/>
  <c r="I34" i="1"/>
  <c r="E32" i="1"/>
  <c r="F32" i="1"/>
  <c r="G32" i="1"/>
  <c r="I32" i="1"/>
  <c r="G26" i="1"/>
  <c r="E42" i="1"/>
  <c r="F42" i="1"/>
  <c r="G42" i="1"/>
  <c r="K42" i="1"/>
  <c r="E17" i="2"/>
  <c r="E22" i="2"/>
  <c r="E20" i="2"/>
  <c r="E34" i="2"/>
  <c r="E15" i="2"/>
  <c r="E13" i="2"/>
  <c r="E36" i="2"/>
  <c r="E32" i="2"/>
  <c r="E27" i="2"/>
  <c r="E25" i="2"/>
  <c r="E16" i="2"/>
  <c r="E21" i="2"/>
  <c r="E19" i="2"/>
  <c r="I26" i="1"/>
  <c r="E18" i="2"/>
  <c r="E33" i="2"/>
  <c r="E14" i="2"/>
  <c r="E12" i="2"/>
  <c r="E29" i="2"/>
  <c r="E31" i="2"/>
  <c r="E35" i="2"/>
  <c r="E24" i="2"/>
  <c r="C12" i="1"/>
  <c r="C11" i="1"/>
  <c r="O39" i="1" l="1"/>
  <c r="O37" i="1"/>
  <c r="O47" i="1"/>
  <c r="O24" i="1"/>
  <c r="O41" i="1"/>
  <c r="O21" i="1"/>
  <c r="O35" i="1"/>
  <c r="O28" i="1"/>
  <c r="O46" i="1"/>
  <c r="O25" i="1"/>
  <c r="O31" i="1"/>
  <c r="O23" i="1"/>
  <c r="O45" i="1"/>
  <c r="O43" i="1"/>
  <c r="O44" i="1"/>
  <c r="O32" i="1"/>
  <c r="O29" i="1"/>
  <c r="O30" i="1"/>
  <c r="O33" i="1"/>
  <c r="O34" i="1"/>
  <c r="O42" i="1"/>
  <c r="O36" i="1"/>
  <c r="O40" i="1"/>
  <c r="C15" i="1"/>
  <c r="O26" i="1"/>
  <c r="O22" i="1"/>
  <c r="O27" i="1"/>
  <c r="O3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<sst xmlns="http://schemas.openxmlformats.org/spreadsheetml/2006/main" count="321" uniqueCount="187">
  <si>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</si>
  <si>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</si>
  <si>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</si>
  <si>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</si>
  <si>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</si>
  <si>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</si>
  <si>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</si>
  <si>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</si>
  <si>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</si>
  <si>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</si>
  <si>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</si>
  <si>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</si>
  <si>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</si>
  <si>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</si>
  <si>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</si>
  <si>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</si>
  <si>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</si>
  <si>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</si>
  <si>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</si>
  <si>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</si>
  <si>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</si>
  <si>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</si>
  <si>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</si>
  <si>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</si>
  <si>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</si>
  <si>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</si>
  <si>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</si>
  <si>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</si>
  <si>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</si>
  <si>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</t>
  </si>
  <si>
    <t>B</t>
  </si>
  <si>
    <t>v</t>
  </si>
  <si>
    <t>BBSAG Bull.15</t>
  </si>
  <si>
    <t>BBSAG Bull.16</t>
  </si>
  <si>
    <t>BBSAG Bull.43</t>
  </si>
  <si>
    <t>BBSAG Bull.60</t>
  </si>
  <si>
    <t>BBSAG Bull.67</t>
  </si>
  <si>
    <t>BBSAG Bull.83</t>
  </si>
  <si>
    <t>BBSAG Bull.88</t>
  </si>
  <si>
    <t>BBSAG Bull.92</t>
  </si>
  <si>
    <t>BBSAG Bull.94</t>
  </si>
  <si>
    <t>BRNO 31</t>
  </si>
  <si>
    <t>K</t>
  </si>
  <si>
    <t>Paschke A</t>
  </si>
  <si>
    <t>BBSAG Bull.102</t>
  </si>
  <si>
    <t>BBSAG Bull.104</t>
  </si>
  <si>
    <t>BBSAG Bull.107</t>
  </si>
  <si>
    <t>BBSAG Bull.109</t>
  </si>
  <si>
    <t>EA/SD</t>
  </si>
  <si>
    <t>IBVS 5543</t>
  </si>
  <si>
    <t>I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</si>
  <si>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</si>
  <si>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</si>
  <si>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</si>
  <si>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</si>
  <si>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</si>
  <si>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</si>
  <si>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</si>
  <si>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</si>
  <si>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</si>
  <si>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</si>
  <si>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OEJV 0003</t>
  </si>
  <si>
    <t>V391 Oph / GSC 0425-0244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</si>
  <si>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</si>
  <si>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</si>
  <si>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</si>
  <si>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</si>
  <si>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</si>
  <si>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</si>
  <si>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</si>
  <si>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</si>
  <si>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</si>
  <si>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</si>
  <si>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</si>
  <si>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</si>
  <si>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2425501.360 </t>
  </si>
  <si>
    <t> 11.09.1928 20:38 </t>
  </si>
  <si>
    <t> -0.249 </t>
  </si>
  <si>
    <t>P </t>
  </si>
  <si>
    <t> C.Hoffmeister </t>
  </si>
  <si>
    <t> KVBB 19.68 </t>
  </si>
  <si>
    <t>2425689.627 </t>
  </si>
  <si>
    <t> 19.03.1929 03:02 </t>
  </si>
  <si>
    <t> -0.193 </t>
  </si>
  <si>
    <t>2425776.478 </t>
  </si>
  <si>
    <t> 13.06.1929 23:28 </t>
  </si>
  <si>
    <t> -0.208 </t>
  </si>
  <si>
    <t>2426413.604 </t>
  </si>
  <si>
    <t> 13.03.1931 02:29 </t>
  </si>
  <si>
    <t> -0.103 </t>
  </si>
  <si>
    <t>2426769.631 </t>
  </si>
  <si>
    <t> 03.03.1932 03:08 </t>
  </si>
  <si>
    <t> -0.229 </t>
  </si>
  <si>
    <t>2441803.535 </t>
  </si>
  <si>
    <t> 01.05.1973 00:50 </t>
  </si>
  <si>
    <t> -0.020 </t>
  </si>
  <si>
    <t>V </t>
  </si>
  <si>
    <t> K.Locher </t>
  </si>
  <si>
    <t> BBS 9 </t>
  </si>
  <si>
    <t>2442194.448 </t>
  </si>
  <si>
    <t> 26.05.1974 22:45 </t>
  </si>
  <si>
    <t> -0.007 </t>
  </si>
  <si>
    <t> BBS 15 </t>
  </si>
  <si>
    <t>2442220.511 </t>
  </si>
  <si>
    <t> 22.06.1974 00:15 </t>
  </si>
  <si>
    <t> -0.004 </t>
  </si>
  <si>
    <t> BBS 16 </t>
  </si>
  <si>
    <t>2444024.429 </t>
  </si>
  <si>
    <t> 30.05.1979 22:17 </t>
  </si>
  <si>
    <t> -0.013 </t>
  </si>
  <si>
    <t> BBS 43 </t>
  </si>
  <si>
    <t>2445101.586 </t>
  </si>
  <si>
    <t> 12.05.1982 02:03 </t>
  </si>
  <si>
    <t> -0.001 </t>
  </si>
  <si>
    <t> BBS 60 </t>
  </si>
  <si>
    <t>2445518.556 </t>
  </si>
  <si>
    <t> 03.07.1983 01:20 </t>
  </si>
  <si>
    <t> 0.010 </t>
  </si>
  <si>
    <t> BBS 67 </t>
  </si>
  <si>
    <t>2446902.631 </t>
  </si>
  <si>
    <t> 17.04.1987 03:08 </t>
  </si>
  <si>
    <t> 0.012 </t>
  </si>
  <si>
    <t> BBS 83 </t>
  </si>
  <si>
    <t>2447293.530 </t>
  </si>
  <si>
    <t> 12.05.1988 00:43 </t>
  </si>
  <si>
    <t> BBS 88 </t>
  </si>
  <si>
    <t>2447655.461 </t>
  </si>
  <si>
    <t> 08.05.1989 23:03 </t>
  </si>
  <si>
    <t> BBS 92 </t>
  </si>
  <si>
    <t>2447956.608 </t>
  </si>
  <si>
    <t> 06.03.1990 02:35 </t>
  </si>
  <si>
    <t> 0.009 </t>
  </si>
  <si>
    <t> BBS 94 </t>
  </si>
  <si>
    <t>2448014.531 </t>
  </si>
  <si>
    <t> 03.05.1990 00:44 </t>
  </si>
  <si>
    <t> 0.021 </t>
  </si>
  <si>
    <t> J.Borovicka </t>
  </si>
  <si>
    <t> BRNO 31 </t>
  </si>
  <si>
    <t>2448819.49 </t>
  </si>
  <si>
    <t> 15.07.1992 23:45 </t>
  </si>
  <si>
    <t> 0.02 </t>
  </si>
  <si>
    <t>E </t>
  </si>
  <si>
    <t>?</t>
  </si>
  <si>
    <t> A.Paschke </t>
  </si>
  <si>
    <t> BBS 102 </t>
  </si>
  <si>
    <t>2449207.493 </t>
  </si>
  <si>
    <t> 07.08.1993 23:49 </t>
  </si>
  <si>
    <t> 0.016 </t>
  </si>
  <si>
    <t> BBS 104 </t>
  </si>
  <si>
    <t>2449511.528 </t>
  </si>
  <si>
    <t> 08.06.1994 00:40 </t>
  </si>
  <si>
    <t> 0.019 </t>
  </si>
  <si>
    <t> BBS 107 </t>
  </si>
  <si>
    <t>2449844.542 </t>
  </si>
  <si>
    <t> 07.05.1995 01:00 </t>
  </si>
  <si>
    <t> 0.044 </t>
  </si>
  <si>
    <t> BBS 109 </t>
  </si>
  <si>
    <t>2451758.479 </t>
  </si>
  <si>
    <t> 01.08.2000 23:29 </t>
  </si>
  <si>
    <t> 0.023 </t>
  </si>
  <si>
    <t> BBS 123 </t>
  </si>
  <si>
    <t>2452812.470 </t>
  </si>
  <si>
    <t> 21.06.2003 23:16 </t>
  </si>
  <si>
    <t> 0.034 </t>
  </si>
  <si>
    <t> BBS 129 </t>
  </si>
  <si>
    <t>2453171.523 </t>
  </si>
  <si>
    <t> 15.06.2004 00:33 </t>
  </si>
  <si>
    <t> 0.038 </t>
  </si>
  <si>
    <t> BBS 130 </t>
  </si>
  <si>
    <t>2453475.550 </t>
  </si>
  <si>
    <t> 15.04.2005 01:12 </t>
  </si>
  <si>
    <t> 0.033 </t>
  </si>
  <si>
    <t>OEJV 0003 </t>
  </si>
  <si>
    <t>2454564.2982 </t>
  </si>
  <si>
    <t> 07.04.2008 19:09 </t>
  </si>
  <si>
    <t> 0.0540 </t>
  </si>
  <si>
    <t>C </t>
  </si>
  <si>
    <t>Ic</t>
  </si>
  <si>
    <t> K.Nakajima </t>
  </si>
  <si>
    <t>VSB 48 </t>
  </si>
  <si>
    <t>2456072.8760 </t>
  </si>
  <si>
    <t> 25.05.2012 09:01 </t>
  </si>
  <si>
    <t> 0.0503 </t>
  </si>
  <si>
    <t> R.Diethelm </t>
  </si>
  <si>
    <t>IBVS 6029 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</si>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</sst>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Oph - O-C Diagr.</a:t>
            </a:r>
          </a:p>
        </c:rich>
      </c:tx>
      <c:layout>
        <c:manualLayout>
          <c:xMode val="edge"/>
          <c:yMode val="edge"/>
          <c:x val="0.332645061929242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44635811430433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4-4446-A299-7BFF7EE2EA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-0.24884999999994761</c:v>
                </c:pt>
                <c:pt idx="1">
                  <c:v>-0.1926000000021304</c:v>
                </c:pt>
                <c:pt idx="2">
                  <c:v>-0.20810000000346918</c:v>
                </c:pt>
                <c:pt idx="3">
                  <c:v>-0.10310000000390573</c:v>
                </c:pt>
                <c:pt idx="4">
                  <c:v>-0.22875000000203727</c:v>
                </c:pt>
                <c:pt idx="5">
                  <c:v>-2.0349999998870771E-2</c:v>
                </c:pt>
                <c:pt idx="6">
                  <c:v>-6.6000000078929588E-3</c:v>
                </c:pt>
                <c:pt idx="7">
                  <c:v>-3.550000001268927E-3</c:v>
                </c:pt>
                <c:pt idx="8">
                  <c:v>-1.320000000850996E-2</c:v>
                </c:pt>
                <c:pt idx="9">
                  <c:v>-8.0000000161817297E-4</c:v>
                </c:pt>
                <c:pt idx="11">
                  <c:v>9.9999999947613105E-3</c:v>
                </c:pt>
                <c:pt idx="12">
                  <c:v>1.2099999999918509E-2</c:v>
                </c:pt>
                <c:pt idx="13">
                  <c:v>1.1849999995320104E-2</c:v>
                </c:pt>
                <c:pt idx="14">
                  <c:v>-8.9999999909196049E-4</c:v>
                </c:pt>
                <c:pt idx="15">
                  <c:v>8.900000000721775E-3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4-4446-A299-7BFF7EE2EA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3.3550000000104774E-2</c:v>
                </c:pt>
                <c:pt idx="23">
                  <c:v>3.8350000002537854E-2</c:v>
                </c:pt>
                <c:pt idx="24">
                  <c:v>3.2599999998637941E-2</c:v>
                </c:pt>
                <c:pt idx="26">
                  <c:v>5.0249999992956873E-2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4-4446-A299-7BFF7EE2EA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7">
                  <c:v>1.6999999992549419E-2</c:v>
                </c:pt>
                <c:pt idx="18">
                  <c:v>1.6300000002956949E-2</c:v>
                </c:pt>
                <c:pt idx="19">
                  <c:v>1.8549999993410893E-2</c:v>
                </c:pt>
                <c:pt idx="20">
                  <c:v>4.4300000001385342E-2</c:v>
                </c:pt>
                <c:pt idx="21">
                  <c:v>2.2749999996449333E-2</c:v>
                </c:pt>
                <c:pt idx="25">
                  <c:v>5.3999999996449333E-2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4-4446-A299-7BFF7EE2EA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4-4446-A299-7BFF7EE2EA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4-4446-A299-7BFF7EE2EA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0">
                    <c:v>0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8.9999999999999993E-3</c:v>
                  </c:pt>
                  <c:pt idx="20">
                    <c:v>4.0000000000000001E-3</c:v>
                  </c:pt>
                  <c:pt idx="22">
                    <c:v>6.0000000000000001E-3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6">
                  <c:v>2.0900000003166497E-2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4-4446-A299-7BFF7EE2EA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-6913</c:v>
                </c:pt>
                <c:pt idx="1">
                  <c:v>-6848</c:v>
                </c:pt>
                <c:pt idx="2">
                  <c:v>-6818</c:v>
                </c:pt>
                <c:pt idx="3">
                  <c:v>-6598</c:v>
                </c:pt>
                <c:pt idx="4">
                  <c:v>-6475</c:v>
                </c:pt>
                <c:pt idx="5">
                  <c:v>-1283</c:v>
                </c:pt>
                <c:pt idx="6">
                  <c:v>-1148</c:v>
                </c:pt>
                <c:pt idx="7">
                  <c:v>-1139</c:v>
                </c:pt>
                <c:pt idx="8">
                  <c:v>-516</c:v>
                </c:pt>
                <c:pt idx="9">
                  <c:v>-144</c:v>
                </c:pt>
                <c:pt idx="10">
                  <c:v>0</c:v>
                </c:pt>
                <c:pt idx="11">
                  <c:v>0</c:v>
                </c:pt>
                <c:pt idx="12">
                  <c:v>478</c:v>
                </c:pt>
                <c:pt idx="13">
                  <c:v>613</c:v>
                </c:pt>
                <c:pt idx="14">
                  <c:v>738</c:v>
                </c:pt>
                <c:pt idx="15">
                  <c:v>842</c:v>
                </c:pt>
                <c:pt idx="16">
                  <c:v>862</c:v>
                </c:pt>
                <c:pt idx="17">
                  <c:v>1140</c:v>
                </c:pt>
                <c:pt idx="18">
                  <c:v>1274</c:v>
                </c:pt>
                <c:pt idx="19">
                  <c:v>1379</c:v>
                </c:pt>
                <c:pt idx="20">
                  <c:v>1494</c:v>
                </c:pt>
                <c:pt idx="21">
                  <c:v>2155</c:v>
                </c:pt>
                <c:pt idx="22">
                  <c:v>2519</c:v>
                </c:pt>
                <c:pt idx="23">
                  <c:v>2643</c:v>
                </c:pt>
                <c:pt idx="24">
                  <c:v>2748</c:v>
                </c:pt>
                <c:pt idx="25">
                  <c:v>3124</c:v>
                </c:pt>
                <c:pt idx="26">
                  <c:v>3645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-8.848988838697186E-2</c:v>
                </c:pt>
                <c:pt idx="1">
                  <c:v>-8.7630972241560162E-2</c:v>
                </c:pt>
                <c:pt idx="2">
                  <c:v>-8.72345494052163E-2</c:v>
                </c:pt>
                <c:pt idx="3">
                  <c:v>-8.4327448605361302E-2</c:v>
                </c:pt>
                <c:pt idx="4">
                  <c:v>-8.2702114976351465E-2</c:v>
                </c:pt>
                <c:pt idx="5">
                  <c:v>-1.4094536099773592E-2</c:v>
                </c:pt>
                <c:pt idx="6">
                  <c:v>-1.2310633336226208E-2</c:v>
                </c:pt>
                <c:pt idx="7">
                  <c:v>-1.2191706485323049E-2</c:v>
                </c:pt>
                <c:pt idx="8">
                  <c:v>-3.9593255839154955E-3</c:v>
                </c:pt>
                <c:pt idx="9">
                  <c:v>9.5631758674840544E-4</c:v>
                </c:pt>
                <c:pt idx="10">
                  <c:v>2.8591472011989475E-3</c:v>
                </c:pt>
                <c:pt idx="11">
                  <c:v>2.8591472011989475E-3</c:v>
                </c:pt>
                <c:pt idx="12">
                  <c:v>9.1754843936111639E-3</c:v>
                </c:pt>
                <c:pt idx="13">
                  <c:v>1.0959387157158548E-2</c:v>
                </c:pt>
                <c:pt idx="14">
                  <c:v>1.2611148975257976E-2</c:v>
                </c:pt>
                <c:pt idx="15">
                  <c:v>1.39854148079167E-2</c:v>
                </c:pt>
                <c:pt idx="16">
                  <c:v>1.4249696698812609E-2</c:v>
                </c:pt>
                <c:pt idx="17">
                  <c:v>1.7923214982265741E-2</c:v>
                </c:pt>
                <c:pt idx="18">
                  <c:v>1.969390365126833E-2</c:v>
                </c:pt>
                <c:pt idx="19">
                  <c:v>2.1081383578471849E-2</c:v>
                </c:pt>
                <c:pt idx="20">
                  <c:v>2.260100445112332E-2</c:v>
                </c:pt>
                <c:pt idx="21">
                  <c:v>3.1335520945233106E-2</c:v>
                </c:pt>
                <c:pt idx="22">
                  <c:v>3.6145451359538637E-2</c:v>
                </c:pt>
                <c:pt idx="23">
                  <c:v>3.7783999083093274E-2</c:v>
                </c:pt>
                <c:pt idx="24">
                  <c:v>3.9171479010296793E-2</c:v>
                </c:pt>
                <c:pt idx="25">
                  <c:v>4.4139978559139877E-2</c:v>
                </c:pt>
                <c:pt idx="26">
                  <c:v>5.1024521816978294E-2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84-4446-A299-7BFF7EE2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21640"/>
        <c:axId val="1"/>
      </c:scatterChart>
      <c:valAx>
        <c:axId val="78192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92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19</xdr:col>
      <xdr:colOff>228600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A44BC8-78B5-324E-A676-C904B31EE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solj.cetus-net.org/no48.pdf" TargetMode="External"/><Relationship Id="rId1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3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62</v>
      </c>
    </row>
    <row r="2" spans="1:6" x14ac:dyDescent="0.2">
      <c r="A2" t="s">
        <v>24</v>
      </c>
      <c r="B2" s="9" t="s">
        <v>48</v>
      </c>
    </row>
    <row r="4" spans="1:6" ht="14.25" thickTop="1" thickBot="1" x14ac:dyDescent="0.25">
      <c r="A4" s="6" t="s">
        <v>0</v>
      </c>
      <c r="C4" s="3">
        <v>45518.546000000002</v>
      </c>
      <c r="D4" s="4">
        <v>2.8955500000000001</v>
      </c>
    </row>
    <row r="5" spans="1:6" ht="13.5" thickTop="1" x14ac:dyDescent="0.2">
      <c r="A5" s="18" t="s">
        <v>53</v>
      </c>
      <c r="B5" s="19"/>
      <c r="C5" s="20">
        <v>-9.5</v>
      </c>
      <c r="D5" s="19" t="s">
        <v>54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45518.546000000002</v>
      </c>
    </row>
    <row r="8" spans="1:6" x14ac:dyDescent="0.2">
      <c r="A8" t="s">
        <v>3</v>
      </c>
      <c r="C8">
        <f>+D4</f>
        <v>2.8955500000000001</v>
      </c>
    </row>
    <row r="9" spans="1:6" x14ac:dyDescent="0.2">
      <c r="A9" s="34" t="s">
        <v>60</v>
      </c>
      <c r="B9" s="35">
        <v>26</v>
      </c>
      <c r="C9" s="32" t="str">
        <f>"F"&amp;B9</f>
        <v>F26</v>
      </c>
      <c r="D9" s="33" t="str">
        <f>"G"&amp;B9</f>
        <v>G26</v>
      </c>
    </row>
    <row r="10" spans="1:6" ht="13.5" thickBot="1" x14ac:dyDescent="0.25">
      <c r="A10" s="19"/>
      <c r="B10" s="19"/>
      <c r="C10" s="5" t="s">
        <v>20</v>
      </c>
      <c r="D10" s="5" t="s">
        <v>21</v>
      </c>
      <c r="E10" s="19"/>
    </row>
    <row r="11" spans="1:6" x14ac:dyDescent="0.2">
      <c r="A11" s="19" t="s">
        <v>16</v>
      </c>
      <c r="B11" s="19"/>
      <c r="C11" s="31">
        <f ca="1">INTERCEPT(INDIRECT($D$9):G992,INDIRECT($C$9):F992)</f>
        <v>2.8591472011989475E-3</v>
      </c>
      <c r="D11" s="21"/>
      <c r="E11" s="19"/>
    </row>
    <row r="12" spans="1:6" x14ac:dyDescent="0.2">
      <c r="A12" s="19" t="s">
        <v>17</v>
      </c>
      <c r="B12" s="19"/>
      <c r="C12" s="31">
        <f ca="1">SLOPE(INDIRECT($D$9):G992,INDIRECT($C$9):F992)</f>
        <v>1.3214094544795432E-5</v>
      </c>
      <c r="D12" s="21"/>
      <c r="E12" s="19"/>
    </row>
    <row r="13" spans="1:6" x14ac:dyDescent="0.2">
      <c r="A13" s="19" t="s">
        <v>19</v>
      </c>
      <c r="B13" s="19"/>
      <c r="C13" s="21" t="s">
        <v>14</v>
      </c>
    </row>
    <row r="14" spans="1:6" x14ac:dyDescent="0.2">
      <c r="A14" s="19"/>
      <c r="B14" s="19"/>
      <c r="C14" s="19"/>
    </row>
    <row r="15" spans="1:6" x14ac:dyDescent="0.2">
      <c r="A15" s="22" t="s">
        <v>18</v>
      </c>
      <c r="B15" s="19"/>
      <c r="C15" s="23">
        <f ca="1">(C7+C11)+(C8+C12)*INT(MAX(F21:F3533))</f>
        <v>56072.876774521821</v>
      </c>
      <c r="E15" s="24" t="s">
        <v>58</v>
      </c>
      <c r="F15" s="20">
        <v>1</v>
      </c>
    </row>
    <row r="16" spans="1:6" x14ac:dyDescent="0.2">
      <c r="A16" s="26" t="s">
        <v>4</v>
      </c>
      <c r="B16" s="19"/>
      <c r="C16" s="27">
        <f ca="1">+C8+C12</f>
        <v>2.8955632140945449</v>
      </c>
      <c r="E16" s="24" t="s">
        <v>55</v>
      </c>
      <c r="F16" s="25">
        <f ca="1">NOW()+15018.5+$C$5/24</f>
        <v>60365.829296990742</v>
      </c>
    </row>
    <row r="17" spans="1:33" ht="13.5" thickBot="1" x14ac:dyDescent="0.25">
      <c r="A17" s="24" t="s">
        <v>51</v>
      </c>
      <c r="B17" s="19"/>
      <c r="C17" s="19">
        <f>COUNT(C21:C2191)</f>
        <v>27</v>
      </c>
      <c r="E17" s="24" t="s">
        <v>59</v>
      </c>
      <c r="F17" s="25">
        <f ca="1">ROUND(2*(F16-$C$7)/$C$8,0)/2+F15</f>
        <v>5128.5</v>
      </c>
    </row>
    <row r="18" spans="1:33" ht="14.25" thickTop="1" thickBot="1" x14ac:dyDescent="0.25">
      <c r="A18" s="26" t="s">
        <v>5</v>
      </c>
      <c r="B18" s="19"/>
      <c r="C18" s="29">
        <f ca="1">+C15</f>
        <v>56072.876774521821</v>
      </c>
      <c r="D18" s="30">
        <f ca="1">+C16</f>
        <v>2.8955632140945449</v>
      </c>
      <c r="E18" s="24" t="s">
        <v>56</v>
      </c>
      <c r="F18" s="33">
        <f ca="1">ROUND(2*(F16-$C$15)/$C$16,0)/2+F15</f>
        <v>1483.5</v>
      </c>
    </row>
    <row r="19" spans="1:33" ht="13.5" thickTop="1" x14ac:dyDescent="0.2">
      <c r="E19" s="24" t="s">
        <v>57</v>
      </c>
      <c r="F19" s="28">
        <f ca="1">+$C$15+$C$16*F18-15018.5-$C$5/24</f>
        <v>45350.340635964414</v>
      </c>
    </row>
    <row r="20" spans="1:33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185</v>
      </c>
      <c r="J20" s="8" t="s">
        <v>66</v>
      </c>
      <c r="K20" s="8" t="s">
        <v>186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3" x14ac:dyDescent="0.2">
      <c r="A21" s="53" t="s">
        <v>80</v>
      </c>
      <c r="B21" s="55" t="s">
        <v>50</v>
      </c>
      <c r="C21" s="54">
        <v>25501.360000000001</v>
      </c>
      <c r="D21" s="17"/>
      <c r="E21">
        <f t="shared" ref="E21:E47" si="0">+(C21-C$7)/C$8</f>
        <v>-6913.0859422216854</v>
      </c>
      <c r="F21">
        <f t="shared" ref="F21:F47" si="1">ROUND(2*E21,0)/2</f>
        <v>-6913</v>
      </c>
      <c r="G21">
        <f t="shared" ref="G21:G47" si="2">+C21-(C$7+F21*C$8)</f>
        <v>-0.24884999999994761</v>
      </c>
      <c r="I21">
        <f>+G21</f>
        <v>-0.24884999999994761</v>
      </c>
      <c r="O21">
        <f t="shared" ref="O21:O47" ca="1" si="3">+C$11+C$12*$F21</f>
        <v>-8.848988838697186E-2</v>
      </c>
      <c r="Q21" s="2">
        <f t="shared" ref="Q21:Q47" si="4">+C21-15018.5</f>
        <v>10482.86</v>
      </c>
    </row>
    <row r="22" spans="1:33" x14ac:dyDescent="0.2">
      <c r="A22" s="53" t="s">
        <v>80</v>
      </c>
      <c r="B22" s="55" t="s">
        <v>50</v>
      </c>
      <c r="C22" s="54">
        <v>25689.627</v>
      </c>
      <c r="D22" s="17"/>
      <c r="E22">
        <f t="shared" si="0"/>
        <v>-6848.0665158605452</v>
      </c>
      <c r="F22">
        <f t="shared" si="1"/>
        <v>-6848</v>
      </c>
      <c r="G22">
        <f t="shared" si="2"/>
        <v>-0.1926000000021304</v>
      </c>
      <c r="I22">
        <f>+G22</f>
        <v>-0.1926000000021304</v>
      </c>
      <c r="O22">
        <f t="shared" ca="1" si="3"/>
        <v>-8.7630972241560162E-2</v>
      </c>
      <c r="Q22" s="2">
        <f t="shared" si="4"/>
        <v>10671.127</v>
      </c>
    </row>
    <row r="23" spans="1:33" x14ac:dyDescent="0.2">
      <c r="A23" s="53" t="s">
        <v>80</v>
      </c>
      <c r="B23" s="55" t="s">
        <v>50</v>
      </c>
      <c r="C23" s="54">
        <v>25776.477999999999</v>
      </c>
      <c r="D23" s="17"/>
      <c r="E23">
        <f t="shared" si="0"/>
        <v>-6818.0718689022815</v>
      </c>
      <c r="F23">
        <f t="shared" si="1"/>
        <v>-6818</v>
      </c>
      <c r="G23">
        <f t="shared" si="2"/>
        <v>-0.20810000000346918</v>
      </c>
      <c r="I23">
        <f>+G23</f>
        <v>-0.20810000000346918</v>
      </c>
      <c r="O23">
        <f t="shared" ca="1" si="3"/>
        <v>-8.72345494052163E-2</v>
      </c>
      <c r="Q23" s="2">
        <f t="shared" si="4"/>
        <v>10757.977999999999</v>
      </c>
    </row>
    <row r="24" spans="1:33" x14ac:dyDescent="0.2">
      <c r="A24" s="53" t="s">
        <v>80</v>
      </c>
      <c r="B24" s="55" t="s">
        <v>50</v>
      </c>
      <c r="C24" s="54">
        <v>26413.603999999999</v>
      </c>
      <c r="D24" s="12"/>
      <c r="E24">
        <f t="shared" si="0"/>
        <v>-6598.0356063614863</v>
      </c>
      <c r="F24">
        <f t="shared" si="1"/>
        <v>-6598</v>
      </c>
      <c r="G24">
        <f t="shared" si="2"/>
        <v>-0.10310000000390573</v>
      </c>
      <c r="I24">
        <f>+G24</f>
        <v>-0.10310000000390573</v>
      </c>
      <c r="O24">
        <f t="shared" ca="1" si="3"/>
        <v>-8.4327448605361302E-2</v>
      </c>
      <c r="Q24" s="2">
        <f t="shared" si="4"/>
        <v>11395.103999999999</v>
      </c>
    </row>
    <row r="25" spans="1:33" x14ac:dyDescent="0.2">
      <c r="A25" s="53" t="s">
        <v>80</v>
      </c>
      <c r="B25" s="55" t="s">
        <v>50</v>
      </c>
      <c r="C25" s="54">
        <v>26769.631000000001</v>
      </c>
      <c r="D25" s="12"/>
      <c r="E25">
        <f t="shared" si="0"/>
        <v>-6475.0790005353047</v>
      </c>
      <c r="F25">
        <f t="shared" si="1"/>
        <v>-6475</v>
      </c>
      <c r="G25">
        <f t="shared" si="2"/>
        <v>-0.22875000000203727</v>
      </c>
      <c r="I25">
        <f>+G25</f>
        <v>-0.22875000000203727</v>
      </c>
      <c r="O25">
        <f t="shared" ca="1" si="3"/>
        <v>-8.2702114976351465E-2</v>
      </c>
      <c r="Q25" s="2">
        <f t="shared" si="4"/>
        <v>11751.131000000001</v>
      </c>
    </row>
    <row r="26" spans="1:33" x14ac:dyDescent="0.2">
      <c r="A26" t="s">
        <v>29</v>
      </c>
      <c r="C26" s="17">
        <v>41803.535000000003</v>
      </c>
      <c r="D26" s="17"/>
      <c r="E26">
        <f t="shared" si="0"/>
        <v>-1283.0070280257632</v>
      </c>
      <c r="F26">
        <f t="shared" si="1"/>
        <v>-1283</v>
      </c>
      <c r="G26">
        <f t="shared" si="2"/>
        <v>-2.0349999998870771E-2</v>
      </c>
      <c r="I26">
        <f>+G26</f>
        <v>-2.0349999998870771E-2</v>
      </c>
      <c r="O26">
        <f t="shared" ca="1" si="3"/>
        <v>-1.4094536099773592E-2</v>
      </c>
      <c r="Q26" s="2">
        <f t="shared" si="4"/>
        <v>26785.035000000003</v>
      </c>
      <c r="AC26">
        <v>11</v>
      </c>
      <c r="AE26" t="s">
        <v>28</v>
      </c>
      <c r="AG26" t="s">
        <v>30</v>
      </c>
    </row>
    <row r="27" spans="1:33" x14ac:dyDescent="0.2">
      <c r="A27" t="s">
        <v>32</v>
      </c>
      <c r="C27" s="17">
        <v>42194.447999999997</v>
      </c>
      <c r="D27" s="17"/>
      <c r="E27">
        <f t="shared" si="0"/>
        <v>-1148.0022793597091</v>
      </c>
      <c r="F27">
        <f t="shared" si="1"/>
        <v>-1148</v>
      </c>
      <c r="G27">
        <f t="shared" si="2"/>
        <v>-6.6000000078929588E-3</v>
      </c>
      <c r="I27">
        <f>+G27</f>
        <v>-6.6000000078929588E-3</v>
      </c>
      <c r="O27">
        <f t="shared" ca="1" si="3"/>
        <v>-1.2310633336226208E-2</v>
      </c>
      <c r="Q27" s="2">
        <f t="shared" si="4"/>
        <v>27175.947999999997</v>
      </c>
      <c r="AB27" t="s">
        <v>31</v>
      </c>
      <c r="AC27">
        <v>11</v>
      </c>
      <c r="AE27" t="s">
        <v>28</v>
      </c>
      <c r="AG27" t="s">
        <v>30</v>
      </c>
    </row>
    <row r="28" spans="1:33" x14ac:dyDescent="0.2">
      <c r="A28" t="s">
        <v>33</v>
      </c>
      <c r="C28" s="17">
        <v>42220.510999999999</v>
      </c>
      <c r="D28" s="17"/>
      <c r="E28">
        <f t="shared" si="0"/>
        <v>-1139.0012260192375</v>
      </c>
      <c r="F28">
        <f t="shared" si="1"/>
        <v>-1139</v>
      </c>
      <c r="G28">
        <f t="shared" si="2"/>
        <v>-3.550000001268927E-3</v>
      </c>
      <c r="I28">
        <f>+G28</f>
        <v>-3.550000001268927E-3</v>
      </c>
      <c r="O28">
        <f t="shared" ca="1" si="3"/>
        <v>-1.2191706485323049E-2</v>
      </c>
      <c r="Q28" s="2">
        <f t="shared" si="4"/>
        <v>27202.010999999999</v>
      </c>
      <c r="AB28" t="s">
        <v>31</v>
      </c>
      <c r="AC28">
        <v>10</v>
      </c>
      <c r="AE28" t="s">
        <v>28</v>
      </c>
      <c r="AG28" t="s">
        <v>30</v>
      </c>
    </row>
    <row r="29" spans="1:33" x14ac:dyDescent="0.2">
      <c r="A29" t="s">
        <v>34</v>
      </c>
      <c r="C29" s="17">
        <v>44024.428999999996</v>
      </c>
      <c r="D29" s="17"/>
      <c r="E29">
        <f t="shared" si="0"/>
        <v>-516.0045587194162</v>
      </c>
      <c r="F29">
        <f t="shared" si="1"/>
        <v>-516</v>
      </c>
      <c r="G29">
        <f t="shared" si="2"/>
        <v>-1.320000000850996E-2</v>
      </c>
      <c r="I29">
        <f>+G29</f>
        <v>-1.320000000850996E-2</v>
      </c>
      <c r="O29">
        <f t="shared" ca="1" si="3"/>
        <v>-3.9593255839154955E-3</v>
      </c>
      <c r="Q29" s="2">
        <f t="shared" si="4"/>
        <v>29005.928999999996</v>
      </c>
      <c r="AB29" t="s">
        <v>31</v>
      </c>
      <c r="AC29">
        <v>7</v>
      </c>
      <c r="AE29" t="s">
        <v>28</v>
      </c>
      <c r="AG29" t="s">
        <v>30</v>
      </c>
    </row>
    <row r="30" spans="1:33" x14ac:dyDescent="0.2">
      <c r="A30" t="s">
        <v>35</v>
      </c>
      <c r="C30" s="17">
        <v>45101.586000000003</v>
      </c>
      <c r="D30" s="17"/>
      <c r="E30">
        <f t="shared" si="0"/>
        <v>-144.00027628602481</v>
      </c>
      <c r="F30">
        <f t="shared" si="1"/>
        <v>-144</v>
      </c>
      <c r="G30">
        <f t="shared" si="2"/>
        <v>-8.0000000161817297E-4</v>
      </c>
      <c r="I30">
        <f>+G30</f>
        <v>-8.0000000161817297E-4</v>
      </c>
      <c r="O30">
        <f t="shared" ca="1" si="3"/>
        <v>9.5631758674840544E-4</v>
      </c>
      <c r="Q30" s="2">
        <f t="shared" si="4"/>
        <v>30083.086000000003</v>
      </c>
      <c r="AB30" t="s">
        <v>31</v>
      </c>
      <c r="AC30">
        <v>6</v>
      </c>
      <c r="AE30" t="s">
        <v>28</v>
      </c>
      <c r="AG30" t="s">
        <v>30</v>
      </c>
    </row>
    <row r="31" spans="1:33" x14ac:dyDescent="0.2">
      <c r="A31" t="s">
        <v>12</v>
      </c>
      <c r="C31" s="17">
        <v>45518.546000000002</v>
      </c>
      <c r="D31" s="17" t="s">
        <v>14</v>
      </c>
      <c r="E31">
        <f t="shared" si="0"/>
        <v>0</v>
      </c>
      <c r="F31">
        <f t="shared" si="1"/>
        <v>0</v>
      </c>
      <c r="G31">
        <f t="shared" si="2"/>
        <v>0</v>
      </c>
      <c r="H31">
        <f>+G31</f>
        <v>0</v>
      </c>
      <c r="O31">
        <f t="shared" ca="1" si="3"/>
        <v>2.8591472011989475E-3</v>
      </c>
      <c r="Q31" s="2">
        <f t="shared" si="4"/>
        <v>30500.046000000002</v>
      </c>
    </row>
    <row r="32" spans="1:33" x14ac:dyDescent="0.2">
      <c r="A32" t="s">
        <v>36</v>
      </c>
      <c r="C32" s="17">
        <v>45518.555999999997</v>
      </c>
      <c r="D32" s="17"/>
      <c r="E32">
        <f t="shared" si="0"/>
        <v>3.4535753120344356E-3</v>
      </c>
      <c r="F32">
        <f t="shared" si="1"/>
        <v>0</v>
      </c>
      <c r="G32">
        <f t="shared" si="2"/>
        <v>9.9999999947613105E-3</v>
      </c>
      <c r="I32">
        <f>+G32</f>
        <v>9.9999999947613105E-3</v>
      </c>
      <c r="O32">
        <f t="shared" ca="1" si="3"/>
        <v>2.8591472011989475E-3</v>
      </c>
      <c r="Q32" s="2">
        <f t="shared" si="4"/>
        <v>30500.055999999997</v>
      </c>
      <c r="AB32" t="s">
        <v>31</v>
      </c>
      <c r="AC32">
        <v>5</v>
      </c>
      <c r="AE32" t="s">
        <v>28</v>
      </c>
      <c r="AG32" t="s">
        <v>30</v>
      </c>
    </row>
    <row r="33" spans="1:33" x14ac:dyDescent="0.2">
      <c r="A33" t="s">
        <v>37</v>
      </c>
      <c r="C33" s="17">
        <v>46902.631000000001</v>
      </c>
      <c r="D33" s="17"/>
      <c r="E33">
        <f t="shared" si="0"/>
        <v>478.00417882612942</v>
      </c>
      <c r="F33">
        <f t="shared" si="1"/>
        <v>478</v>
      </c>
      <c r="G33">
        <f t="shared" si="2"/>
        <v>1.2099999999918509E-2</v>
      </c>
      <c r="I33">
        <f>+G33</f>
        <v>1.2099999999918509E-2</v>
      </c>
      <c r="O33">
        <f t="shared" ca="1" si="3"/>
        <v>9.1754843936111639E-3</v>
      </c>
      <c r="Q33" s="2">
        <f t="shared" si="4"/>
        <v>31884.131000000001</v>
      </c>
      <c r="AB33" t="s">
        <v>31</v>
      </c>
      <c r="AC33">
        <v>6</v>
      </c>
      <c r="AE33" t="s">
        <v>28</v>
      </c>
      <c r="AG33" t="s">
        <v>30</v>
      </c>
    </row>
    <row r="34" spans="1:33" x14ac:dyDescent="0.2">
      <c r="A34" t="s">
        <v>38</v>
      </c>
      <c r="C34" s="17">
        <v>47293.53</v>
      </c>
      <c r="D34" s="17"/>
      <c r="E34">
        <f t="shared" si="0"/>
        <v>613.00409248674578</v>
      </c>
      <c r="F34">
        <f t="shared" si="1"/>
        <v>613</v>
      </c>
      <c r="G34">
        <f t="shared" si="2"/>
        <v>1.1849999995320104E-2</v>
      </c>
      <c r="I34">
        <f>+G34</f>
        <v>1.1849999995320104E-2</v>
      </c>
      <c r="O34">
        <f t="shared" ca="1" si="3"/>
        <v>1.0959387157158548E-2</v>
      </c>
      <c r="Q34" s="2">
        <f t="shared" si="4"/>
        <v>32275.03</v>
      </c>
      <c r="AB34" t="s">
        <v>31</v>
      </c>
      <c r="AC34">
        <v>5</v>
      </c>
      <c r="AE34" t="s">
        <v>28</v>
      </c>
      <c r="AG34" t="s">
        <v>30</v>
      </c>
    </row>
    <row r="35" spans="1:33" x14ac:dyDescent="0.2">
      <c r="A35" t="s">
        <v>39</v>
      </c>
      <c r="C35" s="17">
        <v>47655.461000000003</v>
      </c>
      <c r="D35" s="17"/>
      <c r="E35">
        <f t="shared" si="0"/>
        <v>737.99968917822207</v>
      </c>
      <c r="F35">
        <f t="shared" si="1"/>
        <v>738</v>
      </c>
      <c r="G35">
        <f t="shared" si="2"/>
        <v>-8.9999999909196049E-4</v>
      </c>
      <c r="I35">
        <f>+G35</f>
        <v>-8.9999999909196049E-4</v>
      </c>
      <c r="O35">
        <f t="shared" ca="1" si="3"/>
        <v>1.2611148975257976E-2</v>
      </c>
      <c r="Q35" s="2">
        <f t="shared" si="4"/>
        <v>32636.961000000003</v>
      </c>
      <c r="AB35" t="s">
        <v>31</v>
      </c>
      <c r="AC35">
        <v>6</v>
      </c>
      <c r="AE35" t="s">
        <v>28</v>
      </c>
      <c r="AG35" t="s">
        <v>30</v>
      </c>
    </row>
    <row r="36" spans="1:33" x14ac:dyDescent="0.2">
      <c r="A36" t="s">
        <v>40</v>
      </c>
      <c r="C36" s="17">
        <v>47956.608</v>
      </c>
      <c r="D36" s="17"/>
      <c r="E36">
        <f t="shared" si="0"/>
        <v>842.00307368202868</v>
      </c>
      <c r="F36">
        <f t="shared" si="1"/>
        <v>842</v>
      </c>
      <c r="G36">
        <f t="shared" si="2"/>
        <v>8.900000000721775E-3</v>
      </c>
      <c r="I36">
        <f>+G36</f>
        <v>8.900000000721775E-3</v>
      </c>
      <c r="O36">
        <f t="shared" ca="1" si="3"/>
        <v>1.39854148079167E-2</v>
      </c>
      <c r="Q36" s="2">
        <f t="shared" si="4"/>
        <v>32938.108</v>
      </c>
      <c r="AB36" t="s">
        <v>31</v>
      </c>
      <c r="AC36">
        <v>6</v>
      </c>
      <c r="AE36" t="s">
        <v>28</v>
      </c>
      <c r="AG36" t="s">
        <v>30</v>
      </c>
    </row>
    <row r="37" spans="1:33" x14ac:dyDescent="0.2">
      <c r="A37" t="s">
        <v>41</v>
      </c>
      <c r="C37" s="17">
        <v>48014.531000000003</v>
      </c>
      <c r="D37" s="17"/>
      <c r="E37">
        <f t="shared" si="0"/>
        <v>862.00721797240612</v>
      </c>
      <c r="F37">
        <f t="shared" si="1"/>
        <v>862</v>
      </c>
      <c r="G37">
        <f t="shared" si="2"/>
        <v>2.0900000003166497E-2</v>
      </c>
      <c r="N37">
        <f>+G37</f>
        <v>2.0900000003166497E-2</v>
      </c>
      <c r="O37">
        <f t="shared" ca="1" si="3"/>
        <v>1.4249696698812609E-2</v>
      </c>
      <c r="Q37" s="2">
        <f t="shared" si="4"/>
        <v>32996.031000000003</v>
      </c>
      <c r="AB37" t="s">
        <v>31</v>
      </c>
      <c r="AG37" t="s">
        <v>42</v>
      </c>
    </row>
    <row r="38" spans="1:33" x14ac:dyDescent="0.2">
      <c r="A38" t="s">
        <v>44</v>
      </c>
      <c r="C38" s="17">
        <v>48819.49</v>
      </c>
      <c r="D38" s="17">
        <v>0.01</v>
      </c>
      <c r="E38">
        <f t="shared" si="0"/>
        <v>1140.005871078032</v>
      </c>
      <c r="F38">
        <f t="shared" si="1"/>
        <v>1140</v>
      </c>
      <c r="G38">
        <f t="shared" si="2"/>
        <v>1.6999999992549419E-2</v>
      </c>
      <c r="K38">
        <f>+G38</f>
        <v>1.6999999992549419E-2</v>
      </c>
      <c r="O38">
        <f t="shared" ca="1" si="3"/>
        <v>1.7923214982265741E-2</v>
      </c>
      <c r="Q38" s="2">
        <f t="shared" si="4"/>
        <v>33800.99</v>
      </c>
      <c r="AB38" t="s">
        <v>31</v>
      </c>
      <c r="AC38">
        <v>55</v>
      </c>
      <c r="AE38" t="s">
        <v>43</v>
      </c>
      <c r="AG38" t="s">
        <v>30</v>
      </c>
    </row>
    <row r="39" spans="1:33" x14ac:dyDescent="0.2">
      <c r="A39" t="s">
        <v>45</v>
      </c>
      <c r="C39" s="17">
        <v>49207.493000000002</v>
      </c>
      <c r="D39" s="17">
        <v>4.0000000000000001E-3</v>
      </c>
      <c r="E39">
        <f t="shared" si="0"/>
        <v>1274.0056293277617</v>
      </c>
      <c r="F39">
        <f t="shared" si="1"/>
        <v>1274</v>
      </c>
      <c r="G39">
        <f t="shared" si="2"/>
        <v>1.6300000002956949E-2</v>
      </c>
      <c r="K39">
        <f>+G39</f>
        <v>1.6300000002956949E-2</v>
      </c>
      <c r="O39">
        <f t="shared" ca="1" si="3"/>
        <v>1.969390365126833E-2</v>
      </c>
      <c r="Q39" s="2">
        <f t="shared" si="4"/>
        <v>34188.993000000002</v>
      </c>
      <c r="AB39" t="s">
        <v>31</v>
      </c>
      <c r="AC39">
        <v>6</v>
      </c>
      <c r="AE39" t="s">
        <v>28</v>
      </c>
      <c r="AG39" t="s">
        <v>30</v>
      </c>
    </row>
    <row r="40" spans="1:33" x14ac:dyDescent="0.2">
      <c r="A40" t="s">
        <v>46</v>
      </c>
      <c r="C40" s="17">
        <v>49511.527999999998</v>
      </c>
      <c r="D40" s="17">
        <v>8.9999999999999993E-3</v>
      </c>
      <c r="E40">
        <f t="shared" si="0"/>
        <v>1379.0064063822058</v>
      </c>
      <c r="F40">
        <f t="shared" si="1"/>
        <v>1379</v>
      </c>
      <c r="G40">
        <f t="shared" si="2"/>
        <v>1.8549999993410893E-2</v>
      </c>
      <c r="K40">
        <f>+G40</f>
        <v>1.8549999993410893E-2</v>
      </c>
      <c r="O40">
        <f t="shared" ca="1" si="3"/>
        <v>2.1081383578471849E-2</v>
      </c>
      <c r="Q40" s="2">
        <f t="shared" si="4"/>
        <v>34493.027999999998</v>
      </c>
      <c r="AB40" t="s">
        <v>31</v>
      </c>
      <c r="AC40">
        <v>9</v>
      </c>
      <c r="AE40" t="s">
        <v>28</v>
      </c>
      <c r="AG40" t="s">
        <v>30</v>
      </c>
    </row>
    <row r="41" spans="1:33" x14ac:dyDescent="0.2">
      <c r="A41" t="s">
        <v>47</v>
      </c>
      <c r="C41" s="17">
        <v>49844.542000000001</v>
      </c>
      <c r="D41" s="17">
        <v>4.0000000000000001E-3</v>
      </c>
      <c r="E41">
        <f t="shared" si="0"/>
        <v>1494.01529933864</v>
      </c>
      <c r="F41">
        <f t="shared" si="1"/>
        <v>1494</v>
      </c>
      <c r="G41">
        <f t="shared" si="2"/>
        <v>4.4300000001385342E-2</v>
      </c>
      <c r="K41">
        <f>+G41</f>
        <v>4.4300000001385342E-2</v>
      </c>
      <c r="O41">
        <f t="shared" ca="1" si="3"/>
        <v>2.260100445112332E-2</v>
      </c>
      <c r="Q41" s="2">
        <f t="shared" si="4"/>
        <v>34826.042000000001</v>
      </c>
      <c r="AB41" t="s">
        <v>31</v>
      </c>
      <c r="AC41">
        <v>6</v>
      </c>
      <c r="AE41" t="s">
        <v>28</v>
      </c>
      <c r="AG41" t="s">
        <v>30</v>
      </c>
    </row>
    <row r="42" spans="1:33" x14ac:dyDescent="0.2">
      <c r="A42" s="53" t="s">
        <v>160</v>
      </c>
      <c r="B42" s="55" t="s">
        <v>50</v>
      </c>
      <c r="C42" s="54">
        <v>51758.478999999999</v>
      </c>
      <c r="D42" s="12"/>
      <c r="E42">
        <f t="shared" si="0"/>
        <v>2155.007856883838</v>
      </c>
      <c r="F42">
        <f t="shared" si="1"/>
        <v>2155</v>
      </c>
      <c r="G42">
        <f t="shared" si="2"/>
        <v>2.2749999996449333E-2</v>
      </c>
      <c r="K42">
        <f>+G42</f>
        <v>2.2749999996449333E-2</v>
      </c>
      <c r="O42">
        <f t="shared" ca="1" si="3"/>
        <v>3.1335520945233106E-2</v>
      </c>
      <c r="Q42" s="2">
        <f t="shared" si="4"/>
        <v>36739.978999999999</v>
      </c>
    </row>
    <row r="43" spans="1:33" x14ac:dyDescent="0.2">
      <c r="A43" s="14" t="s">
        <v>52</v>
      </c>
      <c r="B43" s="15" t="s">
        <v>50</v>
      </c>
      <c r="C43" s="16">
        <v>52812.47</v>
      </c>
      <c r="D43" s="16">
        <v>6.0000000000000001E-3</v>
      </c>
      <c r="E43">
        <f t="shared" si="0"/>
        <v>2519.0115867451777</v>
      </c>
      <c r="F43">
        <f t="shared" si="1"/>
        <v>2519</v>
      </c>
      <c r="G43">
        <f t="shared" si="2"/>
        <v>3.3550000000104774E-2</v>
      </c>
      <c r="J43">
        <f>+G43</f>
        <v>3.3550000000104774E-2</v>
      </c>
      <c r="O43">
        <f t="shared" ca="1" si="3"/>
        <v>3.6145451359538637E-2</v>
      </c>
      <c r="Q43" s="2">
        <f t="shared" si="4"/>
        <v>37793.97</v>
      </c>
    </row>
    <row r="44" spans="1:33" x14ac:dyDescent="0.2">
      <c r="A44" s="10" t="s">
        <v>49</v>
      </c>
      <c r="B44" s="11" t="s">
        <v>50</v>
      </c>
      <c r="C44" s="10">
        <v>53171.523000000001</v>
      </c>
      <c r="D44" s="13">
        <v>4.0000000000000001E-3</v>
      </c>
      <c r="E44">
        <f t="shared" si="0"/>
        <v>2643.0132444613282</v>
      </c>
      <c r="F44">
        <f t="shared" si="1"/>
        <v>2643</v>
      </c>
      <c r="G44">
        <f t="shared" si="2"/>
        <v>3.8350000002537854E-2</v>
      </c>
      <c r="J44">
        <f>+G44</f>
        <v>3.8350000002537854E-2</v>
      </c>
      <c r="O44">
        <f t="shared" ca="1" si="3"/>
        <v>3.7783999083093274E-2</v>
      </c>
      <c r="Q44" s="2">
        <f t="shared" si="4"/>
        <v>38153.023000000001</v>
      </c>
    </row>
    <row r="45" spans="1:33" x14ac:dyDescent="0.2">
      <c r="A45" s="36" t="s">
        <v>61</v>
      </c>
      <c r="B45" s="37" t="s">
        <v>50</v>
      </c>
      <c r="C45" s="36">
        <v>53475.55</v>
      </c>
      <c r="D45" s="36">
        <v>4.0000000000000001E-3</v>
      </c>
      <c r="E45">
        <f t="shared" si="0"/>
        <v>2748.0112586555233</v>
      </c>
      <c r="F45">
        <f t="shared" si="1"/>
        <v>2748</v>
      </c>
      <c r="G45">
        <f t="shared" si="2"/>
        <v>3.2599999998637941E-2</v>
      </c>
      <c r="J45">
        <f>+G45</f>
        <v>3.2599999998637941E-2</v>
      </c>
      <c r="O45">
        <f t="shared" ca="1" si="3"/>
        <v>3.9171479010296793E-2</v>
      </c>
      <c r="Q45" s="2">
        <f t="shared" si="4"/>
        <v>38457.050000000003</v>
      </c>
    </row>
    <row r="46" spans="1:33" x14ac:dyDescent="0.2">
      <c r="A46" s="53" t="s">
        <v>179</v>
      </c>
      <c r="B46" s="55" t="s">
        <v>50</v>
      </c>
      <c r="C46" s="54">
        <v>54564.298199999997</v>
      </c>
      <c r="D46" s="12"/>
      <c r="E46">
        <f t="shared" si="0"/>
        <v>3124.0186493066931</v>
      </c>
      <c r="F46">
        <f t="shared" si="1"/>
        <v>3124</v>
      </c>
      <c r="G46">
        <f t="shared" si="2"/>
        <v>5.3999999996449333E-2</v>
      </c>
      <c r="K46">
        <f>+G46</f>
        <v>5.3999999996449333E-2</v>
      </c>
      <c r="O46">
        <f t="shared" ca="1" si="3"/>
        <v>4.4139978559139877E-2</v>
      </c>
      <c r="Q46" s="2">
        <f t="shared" si="4"/>
        <v>39545.798199999997</v>
      </c>
    </row>
    <row r="47" spans="1:33" x14ac:dyDescent="0.2">
      <c r="A47" s="38" t="s">
        <v>63</v>
      </c>
      <c r="B47" s="39" t="s">
        <v>50</v>
      </c>
      <c r="C47" s="38">
        <v>56072.875999999997</v>
      </c>
      <c r="D47" s="38">
        <v>5.0000000000000001E-4</v>
      </c>
      <c r="E47">
        <f t="shared" si="0"/>
        <v>3645.01735421595</v>
      </c>
      <c r="F47">
        <f t="shared" si="1"/>
        <v>3645</v>
      </c>
      <c r="G47">
        <f t="shared" si="2"/>
        <v>5.0249999992956873E-2</v>
      </c>
      <c r="J47">
        <f>+G47</f>
        <v>5.0249999992956873E-2</v>
      </c>
      <c r="O47">
        <f t="shared" ca="1" si="3"/>
        <v>5.1024521816978294E-2</v>
      </c>
      <c r="Q47" s="2">
        <f t="shared" si="4"/>
        <v>41054.375999999997</v>
      </c>
    </row>
    <row r="48" spans="1:33" x14ac:dyDescent="0.2">
      <c r="B48" s="21"/>
      <c r="C48" s="12"/>
      <c r="D48" s="12"/>
    </row>
    <row r="49" spans="2:4" x14ac:dyDescent="0.2">
      <c r="B49" s="21"/>
      <c r="C49" s="12"/>
      <c r="D49" s="12"/>
    </row>
    <row r="50" spans="2:4" x14ac:dyDescent="0.2">
      <c r="B50" s="21"/>
      <c r="C50" s="12"/>
      <c r="D50" s="12"/>
    </row>
    <row r="51" spans="2:4" x14ac:dyDescent="0.2">
      <c r="B51" s="21"/>
      <c r="C51" s="12"/>
      <c r="D51" s="12"/>
    </row>
    <row r="52" spans="2:4" x14ac:dyDescent="0.2">
      <c r="B52" s="21"/>
      <c r="C52" s="12"/>
      <c r="D52" s="12"/>
    </row>
    <row r="53" spans="2:4" x14ac:dyDescent="0.2">
      <c r="B53" s="21"/>
      <c r="C53" s="12"/>
      <c r="D53" s="12"/>
    </row>
    <row r="54" spans="2:4" x14ac:dyDescent="0.2">
      <c r="C54" s="12"/>
      <c r="D54" s="12"/>
    </row>
    <row r="55" spans="2:4" x14ac:dyDescent="0.2">
      <c r="C55" s="12"/>
      <c r="D55" s="12"/>
    </row>
    <row r="56" spans="2:4" x14ac:dyDescent="0.2">
      <c r="C56" s="12"/>
      <c r="D56" s="12"/>
    </row>
    <row r="57" spans="2:4" x14ac:dyDescent="0.2">
      <c r="C57" s="12"/>
      <c r="D57" s="12"/>
    </row>
    <row r="58" spans="2:4" x14ac:dyDescent="0.2">
      <c r="C58" s="12"/>
      <c r="D58" s="12"/>
    </row>
    <row r="59" spans="2:4" x14ac:dyDescent="0.2">
      <c r="C59" s="12"/>
      <c r="D59" s="12"/>
    </row>
    <row r="60" spans="2:4" x14ac:dyDescent="0.2">
      <c r="C60" s="12"/>
      <c r="D60" s="12"/>
    </row>
    <row r="61" spans="2:4" x14ac:dyDescent="0.2">
      <c r="C61" s="12"/>
      <c r="D61" s="12"/>
    </row>
    <row r="62" spans="2:4" x14ac:dyDescent="0.2">
      <c r="C62" s="12"/>
      <c r="D62" s="12"/>
    </row>
    <row r="63" spans="2:4" x14ac:dyDescent="0.2">
      <c r="C63" s="12"/>
      <c r="D63" s="12"/>
    </row>
    <row r="64" spans="2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workbookViewId="0">
      <selection activeCell="A30" sqref="A30:C36"/>
    </sheetView>
  </sheetViews>
  <sheetFormatPr defaultRowHeight="12.75" x14ac:dyDescent="0.2"/>
  <cols>
    <col min="1" max="1" width="19.7109375" style="12" customWidth="1"/>
    <col min="2" max="2" width="4.42578125" style="19" customWidth="1"/>
    <col min="3" max="3" width="12.7109375" style="1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0" t="s">
        <v>64</v>
      </c>
      <c r="I1" s="41" t="s">
        <v>65</v>
      </c>
      <c r="J1" s="42" t="s">
        <v>66</v>
      </c>
    </row>
    <row r="2" spans="1:16" x14ac:dyDescent="0.2">
      <c r="I2" s="43" t="s">
        <v>67</v>
      </c>
      <c r="J2" s="44" t="s">
        <v>68</v>
      </c>
    </row>
    <row r="3" spans="1:16" x14ac:dyDescent="0.2">
      <c r="A3" s="45" t="s">
        <v>69</v>
      </c>
      <c r="I3" s="43" t="s">
        <v>70</v>
      </c>
      <c r="J3" s="44" t="s">
        <v>71</v>
      </c>
    </row>
    <row r="4" spans="1:16" x14ac:dyDescent="0.2">
      <c r="I4" s="43" t="s">
        <v>72</v>
      </c>
      <c r="J4" s="44" t="s">
        <v>71</v>
      </c>
    </row>
    <row r="5" spans="1:16" ht="13.5" thickBot="1" x14ac:dyDescent="0.25">
      <c r="I5" s="46" t="s">
        <v>73</v>
      </c>
      <c r="J5" s="47" t="s">
        <v>74</v>
      </c>
    </row>
    <row r="10" spans="1:16" ht="13.5" thickBot="1" x14ac:dyDescent="0.25"/>
    <row r="11" spans="1:16" ht="12.75" customHeight="1" thickBot="1" x14ac:dyDescent="0.25">
      <c r="A11" s="12" t="str">
        <f t="shared" ref="A11:A36" si="0">P11</f>
        <v> BBS 9 </v>
      </c>
      <c r="B11" s="21" t="str">
        <f t="shared" ref="B11:B36" si="1">IF(H11=INT(H11),"I","II")</f>
        <v>I</v>
      </c>
      <c r="C11" s="12">
        <f t="shared" ref="C11:C36" si="2">1*G11</f>
        <v>41803.535000000003</v>
      </c>
      <c r="D11" s="19" t="str">
        <f t="shared" ref="D11:D36" si="3">VLOOKUP(F11,I$1:J$5,2,FALSE)</f>
        <v>vis</v>
      </c>
      <c r="E11" s="48">
        <f>VLOOKUP(C11,Active!C$21:E$973,3,FALSE)</f>
        <v>-1283.0070280257632</v>
      </c>
      <c r="F11" s="21" t="s">
        <v>73</v>
      </c>
      <c r="G11" s="19" t="str">
        <f t="shared" ref="G11:G36" si="4">MID(I11,3,LEN(I11)-3)</f>
        <v>41803.535</v>
      </c>
      <c r="H11" s="12">
        <f t="shared" ref="H11:H36" si="5">1*K11</f>
        <v>-1283</v>
      </c>
      <c r="I11" s="49" t="s">
        <v>93</v>
      </c>
      <c r="J11" s="50" t="s">
        <v>94</v>
      </c>
      <c r="K11" s="49">
        <v>-1283</v>
      </c>
      <c r="L11" s="49" t="s">
        <v>95</v>
      </c>
      <c r="M11" s="50" t="s">
        <v>96</v>
      </c>
      <c r="N11" s="50"/>
      <c r="O11" s="51" t="s">
        <v>97</v>
      </c>
      <c r="P11" s="51" t="s">
        <v>98</v>
      </c>
    </row>
    <row r="12" spans="1:16" ht="12.75" customHeight="1" thickBot="1" x14ac:dyDescent="0.25">
      <c r="A12" s="12" t="str">
        <f t="shared" si="0"/>
        <v> BBS 15 </v>
      </c>
      <c r="B12" s="21" t="str">
        <f t="shared" si="1"/>
        <v>I</v>
      </c>
      <c r="C12" s="12">
        <f t="shared" si="2"/>
        <v>42194.447999999997</v>
      </c>
      <c r="D12" s="19" t="str">
        <f t="shared" si="3"/>
        <v>vis</v>
      </c>
      <c r="E12" s="48">
        <f>VLOOKUP(C12,Active!C$21:E$973,3,FALSE)</f>
        <v>-1148.0022793597091</v>
      </c>
      <c r="F12" s="21" t="s">
        <v>73</v>
      </c>
      <c r="G12" s="19" t="str">
        <f t="shared" si="4"/>
        <v>42194.448</v>
      </c>
      <c r="H12" s="12">
        <f t="shared" si="5"/>
        <v>-1148</v>
      </c>
      <c r="I12" s="49" t="s">
        <v>99</v>
      </c>
      <c r="J12" s="50" t="s">
        <v>100</v>
      </c>
      <c r="K12" s="49">
        <v>-1148</v>
      </c>
      <c r="L12" s="49" t="s">
        <v>101</v>
      </c>
      <c r="M12" s="50" t="s">
        <v>96</v>
      </c>
      <c r="N12" s="50"/>
      <c r="O12" s="51" t="s">
        <v>97</v>
      </c>
      <c r="P12" s="51" t="s">
        <v>102</v>
      </c>
    </row>
    <row r="13" spans="1:16" ht="12.75" customHeight="1" thickBot="1" x14ac:dyDescent="0.25">
      <c r="A13" s="12" t="str">
        <f t="shared" si="0"/>
        <v> BBS 16 </v>
      </c>
      <c r="B13" s="21" t="str">
        <f t="shared" si="1"/>
        <v>I</v>
      </c>
      <c r="C13" s="12">
        <f t="shared" si="2"/>
        <v>42220.510999999999</v>
      </c>
      <c r="D13" s="19" t="str">
        <f t="shared" si="3"/>
        <v>vis</v>
      </c>
      <c r="E13" s="48">
        <f>VLOOKUP(C13,Active!C$21:E$973,3,FALSE)</f>
        <v>-1139.0012260192375</v>
      </c>
      <c r="F13" s="21" t="s">
        <v>73</v>
      </c>
      <c r="G13" s="19" t="str">
        <f t="shared" si="4"/>
        <v>42220.511</v>
      </c>
      <c r="H13" s="12">
        <f t="shared" si="5"/>
        <v>-1139</v>
      </c>
      <c r="I13" s="49" t="s">
        <v>103</v>
      </c>
      <c r="J13" s="50" t="s">
        <v>104</v>
      </c>
      <c r="K13" s="49">
        <v>-1139</v>
      </c>
      <c r="L13" s="49" t="s">
        <v>105</v>
      </c>
      <c r="M13" s="50" t="s">
        <v>96</v>
      </c>
      <c r="N13" s="50"/>
      <c r="O13" s="51" t="s">
        <v>97</v>
      </c>
      <c r="P13" s="51" t="s">
        <v>106</v>
      </c>
    </row>
    <row r="14" spans="1:16" ht="12.75" customHeight="1" thickBot="1" x14ac:dyDescent="0.25">
      <c r="A14" s="12" t="str">
        <f t="shared" si="0"/>
        <v> BBS 43 </v>
      </c>
      <c r="B14" s="21" t="str">
        <f t="shared" si="1"/>
        <v>I</v>
      </c>
      <c r="C14" s="12">
        <f t="shared" si="2"/>
        <v>44024.428999999996</v>
      </c>
      <c r="D14" s="19" t="str">
        <f t="shared" si="3"/>
        <v>vis</v>
      </c>
      <c r="E14" s="48">
        <f>VLOOKUP(C14,Active!C$21:E$973,3,FALSE)</f>
        <v>-516.0045587194162</v>
      </c>
      <c r="F14" s="21" t="s">
        <v>73</v>
      </c>
      <c r="G14" s="19" t="str">
        <f t="shared" si="4"/>
        <v>44024.429</v>
      </c>
      <c r="H14" s="12">
        <f t="shared" si="5"/>
        <v>-516</v>
      </c>
      <c r="I14" s="49" t="s">
        <v>107</v>
      </c>
      <c r="J14" s="50" t="s">
        <v>108</v>
      </c>
      <c r="K14" s="49">
        <v>-516</v>
      </c>
      <c r="L14" s="49" t="s">
        <v>109</v>
      </c>
      <c r="M14" s="50" t="s">
        <v>96</v>
      </c>
      <c r="N14" s="50"/>
      <c r="O14" s="51" t="s">
        <v>97</v>
      </c>
      <c r="P14" s="51" t="s">
        <v>110</v>
      </c>
    </row>
    <row r="15" spans="1:16" ht="12.75" customHeight="1" thickBot="1" x14ac:dyDescent="0.25">
      <c r="A15" s="12" t="str">
        <f t="shared" si="0"/>
        <v> BBS 60 </v>
      </c>
      <c r="B15" s="21" t="str">
        <f t="shared" si="1"/>
        <v>I</v>
      </c>
      <c r="C15" s="12">
        <f t="shared" si="2"/>
        <v>45101.586000000003</v>
      </c>
      <c r="D15" s="19" t="str">
        <f t="shared" si="3"/>
        <v>vis</v>
      </c>
      <c r="E15" s="48">
        <f>VLOOKUP(C15,Active!C$21:E$973,3,FALSE)</f>
        <v>-144.00027628602481</v>
      </c>
      <c r="F15" s="21" t="s">
        <v>73</v>
      </c>
      <c r="G15" s="19" t="str">
        <f t="shared" si="4"/>
        <v>45101.586</v>
      </c>
      <c r="H15" s="12">
        <f t="shared" si="5"/>
        <v>-144</v>
      </c>
      <c r="I15" s="49" t="s">
        <v>111</v>
      </c>
      <c r="J15" s="50" t="s">
        <v>112</v>
      </c>
      <c r="K15" s="49">
        <v>-144</v>
      </c>
      <c r="L15" s="49" t="s">
        <v>113</v>
      </c>
      <c r="M15" s="50" t="s">
        <v>96</v>
      </c>
      <c r="N15" s="50"/>
      <c r="O15" s="51" t="s">
        <v>97</v>
      </c>
      <c r="P15" s="51" t="s">
        <v>114</v>
      </c>
    </row>
    <row r="16" spans="1:16" ht="12.75" customHeight="1" thickBot="1" x14ac:dyDescent="0.25">
      <c r="A16" s="12" t="str">
        <f t="shared" si="0"/>
        <v> BBS 67 </v>
      </c>
      <c r="B16" s="21" t="str">
        <f t="shared" si="1"/>
        <v>I</v>
      </c>
      <c r="C16" s="12">
        <f t="shared" si="2"/>
        <v>45518.555999999997</v>
      </c>
      <c r="D16" s="19" t="str">
        <f t="shared" si="3"/>
        <v>vis</v>
      </c>
      <c r="E16" s="48">
        <f>VLOOKUP(C16,Active!C$21:E$973,3,FALSE)</f>
        <v>3.4535753120344356E-3</v>
      </c>
      <c r="F16" s="21" t="s">
        <v>73</v>
      </c>
      <c r="G16" s="19" t="str">
        <f t="shared" si="4"/>
        <v>45518.556</v>
      </c>
      <c r="H16" s="12">
        <f t="shared" si="5"/>
        <v>0</v>
      </c>
      <c r="I16" s="49" t="s">
        <v>115</v>
      </c>
      <c r="J16" s="50" t="s">
        <v>116</v>
      </c>
      <c r="K16" s="49">
        <v>0</v>
      </c>
      <c r="L16" s="49" t="s">
        <v>117</v>
      </c>
      <c r="M16" s="50" t="s">
        <v>96</v>
      </c>
      <c r="N16" s="50"/>
      <c r="O16" s="51" t="s">
        <v>97</v>
      </c>
      <c r="P16" s="51" t="s">
        <v>118</v>
      </c>
    </row>
    <row r="17" spans="1:16" ht="12.75" customHeight="1" thickBot="1" x14ac:dyDescent="0.25">
      <c r="A17" s="12" t="str">
        <f t="shared" si="0"/>
        <v> BBS 83 </v>
      </c>
      <c r="B17" s="21" t="str">
        <f t="shared" si="1"/>
        <v>I</v>
      </c>
      <c r="C17" s="12">
        <f t="shared" si="2"/>
        <v>46902.631000000001</v>
      </c>
      <c r="D17" s="19" t="str">
        <f t="shared" si="3"/>
        <v>vis</v>
      </c>
      <c r="E17" s="48">
        <f>VLOOKUP(C17,Active!C$21:E$973,3,FALSE)</f>
        <v>478.00417882612942</v>
      </c>
      <c r="F17" s="21" t="s">
        <v>73</v>
      </c>
      <c r="G17" s="19" t="str">
        <f t="shared" si="4"/>
        <v>46902.631</v>
      </c>
      <c r="H17" s="12">
        <f t="shared" si="5"/>
        <v>478</v>
      </c>
      <c r="I17" s="49" t="s">
        <v>119</v>
      </c>
      <c r="J17" s="50" t="s">
        <v>120</v>
      </c>
      <c r="K17" s="49">
        <v>478</v>
      </c>
      <c r="L17" s="49" t="s">
        <v>121</v>
      </c>
      <c r="M17" s="50" t="s">
        <v>96</v>
      </c>
      <c r="N17" s="50"/>
      <c r="O17" s="51" t="s">
        <v>97</v>
      </c>
      <c r="P17" s="51" t="s">
        <v>122</v>
      </c>
    </row>
    <row r="18" spans="1:16" ht="12.75" customHeight="1" thickBot="1" x14ac:dyDescent="0.25">
      <c r="A18" s="12" t="str">
        <f t="shared" si="0"/>
        <v> BBS 88 </v>
      </c>
      <c r="B18" s="21" t="str">
        <f t="shared" si="1"/>
        <v>I</v>
      </c>
      <c r="C18" s="12">
        <f t="shared" si="2"/>
        <v>47293.53</v>
      </c>
      <c r="D18" s="19" t="str">
        <f t="shared" si="3"/>
        <v>vis</v>
      </c>
      <c r="E18" s="48">
        <f>VLOOKUP(C18,Active!C$21:E$973,3,FALSE)</f>
        <v>613.00409248674578</v>
      </c>
      <c r="F18" s="21" t="s">
        <v>73</v>
      </c>
      <c r="G18" s="19" t="str">
        <f t="shared" si="4"/>
        <v>47293.530</v>
      </c>
      <c r="H18" s="12">
        <f t="shared" si="5"/>
        <v>613</v>
      </c>
      <c r="I18" s="49" t="s">
        <v>123</v>
      </c>
      <c r="J18" s="50" t="s">
        <v>124</v>
      </c>
      <c r="K18" s="49">
        <v>613</v>
      </c>
      <c r="L18" s="49" t="s">
        <v>121</v>
      </c>
      <c r="M18" s="50" t="s">
        <v>96</v>
      </c>
      <c r="N18" s="50"/>
      <c r="O18" s="51" t="s">
        <v>97</v>
      </c>
      <c r="P18" s="51" t="s">
        <v>125</v>
      </c>
    </row>
    <row r="19" spans="1:16" ht="12.75" customHeight="1" thickBot="1" x14ac:dyDescent="0.25">
      <c r="A19" s="12" t="str">
        <f t="shared" si="0"/>
        <v> BBS 92 </v>
      </c>
      <c r="B19" s="21" t="str">
        <f t="shared" si="1"/>
        <v>I</v>
      </c>
      <c r="C19" s="12">
        <f t="shared" si="2"/>
        <v>47655.461000000003</v>
      </c>
      <c r="D19" s="19" t="str">
        <f t="shared" si="3"/>
        <v>vis</v>
      </c>
      <c r="E19" s="48">
        <f>VLOOKUP(C19,Active!C$21:E$973,3,FALSE)</f>
        <v>737.99968917822207</v>
      </c>
      <c r="F19" s="21" t="s">
        <v>73</v>
      </c>
      <c r="G19" s="19" t="str">
        <f t="shared" si="4"/>
        <v>47655.461</v>
      </c>
      <c r="H19" s="12">
        <f t="shared" si="5"/>
        <v>738</v>
      </c>
      <c r="I19" s="49" t="s">
        <v>126</v>
      </c>
      <c r="J19" s="50" t="s">
        <v>127</v>
      </c>
      <c r="K19" s="49">
        <v>738</v>
      </c>
      <c r="L19" s="49" t="s">
        <v>113</v>
      </c>
      <c r="M19" s="50" t="s">
        <v>96</v>
      </c>
      <c r="N19" s="50"/>
      <c r="O19" s="51" t="s">
        <v>97</v>
      </c>
      <c r="P19" s="51" t="s">
        <v>128</v>
      </c>
    </row>
    <row r="20" spans="1:16" ht="12.75" customHeight="1" thickBot="1" x14ac:dyDescent="0.25">
      <c r="A20" s="12" t="str">
        <f t="shared" si="0"/>
        <v> BBS 94 </v>
      </c>
      <c r="B20" s="21" t="str">
        <f t="shared" si="1"/>
        <v>I</v>
      </c>
      <c r="C20" s="12">
        <f t="shared" si="2"/>
        <v>47956.608</v>
      </c>
      <c r="D20" s="19" t="str">
        <f t="shared" si="3"/>
        <v>vis</v>
      </c>
      <c r="E20" s="48">
        <f>VLOOKUP(C20,Active!C$21:E$973,3,FALSE)</f>
        <v>842.00307368202868</v>
      </c>
      <c r="F20" s="21" t="s">
        <v>73</v>
      </c>
      <c r="G20" s="19" t="str">
        <f t="shared" si="4"/>
        <v>47956.608</v>
      </c>
      <c r="H20" s="12">
        <f t="shared" si="5"/>
        <v>842</v>
      </c>
      <c r="I20" s="49" t="s">
        <v>129</v>
      </c>
      <c r="J20" s="50" t="s">
        <v>130</v>
      </c>
      <c r="K20" s="49">
        <v>842</v>
      </c>
      <c r="L20" s="49" t="s">
        <v>131</v>
      </c>
      <c r="M20" s="50" t="s">
        <v>96</v>
      </c>
      <c r="N20" s="50"/>
      <c r="O20" s="51" t="s">
        <v>97</v>
      </c>
      <c r="P20" s="51" t="s">
        <v>132</v>
      </c>
    </row>
    <row r="21" spans="1:16" ht="12.75" customHeight="1" thickBot="1" x14ac:dyDescent="0.25">
      <c r="A21" s="12" t="str">
        <f t="shared" si="0"/>
        <v> BRNO 31 </v>
      </c>
      <c r="B21" s="21" t="str">
        <f t="shared" si="1"/>
        <v>I</v>
      </c>
      <c r="C21" s="12">
        <f t="shared" si="2"/>
        <v>48014.531000000003</v>
      </c>
      <c r="D21" s="19" t="str">
        <f t="shared" si="3"/>
        <v>vis</v>
      </c>
      <c r="E21" s="48">
        <f>VLOOKUP(C21,Active!C$21:E$973,3,FALSE)</f>
        <v>862.00721797240612</v>
      </c>
      <c r="F21" s="21" t="s">
        <v>73</v>
      </c>
      <c r="G21" s="19" t="str">
        <f t="shared" si="4"/>
        <v>48014.531</v>
      </c>
      <c r="H21" s="12">
        <f t="shared" si="5"/>
        <v>862</v>
      </c>
      <c r="I21" s="49" t="s">
        <v>133</v>
      </c>
      <c r="J21" s="50" t="s">
        <v>134</v>
      </c>
      <c r="K21" s="49">
        <v>862</v>
      </c>
      <c r="L21" s="49" t="s">
        <v>135</v>
      </c>
      <c r="M21" s="50" t="s">
        <v>96</v>
      </c>
      <c r="N21" s="50"/>
      <c r="O21" s="51" t="s">
        <v>136</v>
      </c>
      <c r="P21" s="51" t="s">
        <v>137</v>
      </c>
    </row>
    <row r="22" spans="1:16" ht="12.75" customHeight="1" thickBot="1" x14ac:dyDescent="0.25">
      <c r="A22" s="12" t="str">
        <f t="shared" si="0"/>
        <v> BBS 102 </v>
      </c>
      <c r="B22" s="21" t="str">
        <f t="shared" si="1"/>
        <v>I</v>
      </c>
      <c r="C22" s="12">
        <f t="shared" si="2"/>
        <v>48819.49</v>
      </c>
      <c r="D22" s="19" t="str">
        <f t="shared" si="3"/>
        <v>vis</v>
      </c>
      <c r="E22" s="48">
        <f>VLOOKUP(C22,Active!C$21:E$973,3,FALSE)</f>
        <v>1140.005871078032</v>
      </c>
      <c r="F22" s="21" t="s">
        <v>73</v>
      </c>
      <c r="G22" s="19" t="str">
        <f t="shared" si="4"/>
        <v>48819.49</v>
      </c>
      <c r="H22" s="12">
        <f t="shared" si="5"/>
        <v>1140</v>
      </c>
      <c r="I22" s="49" t="s">
        <v>138</v>
      </c>
      <c r="J22" s="50" t="s">
        <v>139</v>
      </c>
      <c r="K22" s="49">
        <v>1140</v>
      </c>
      <c r="L22" s="49" t="s">
        <v>140</v>
      </c>
      <c r="M22" s="50" t="s">
        <v>141</v>
      </c>
      <c r="N22" s="50" t="s">
        <v>142</v>
      </c>
      <c r="O22" s="51" t="s">
        <v>143</v>
      </c>
      <c r="P22" s="51" t="s">
        <v>144</v>
      </c>
    </row>
    <row r="23" spans="1:16" ht="12.75" customHeight="1" thickBot="1" x14ac:dyDescent="0.25">
      <c r="A23" s="12" t="str">
        <f t="shared" si="0"/>
        <v> BBS 104 </v>
      </c>
      <c r="B23" s="21" t="str">
        <f t="shared" si="1"/>
        <v>I</v>
      </c>
      <c r="C23" s="12">
        <f t="shared" si="2"/>
        <v>49207.493000000002</v>
      </c>
      <c r="D23" s="19" t="str">
        <f t="shared" si="3"/>
        <v>vis</v>
      </c>
      <c r="E23" s="48">
        <f>VLOOKUP(C23,Active!C$21:E$973,3,FALSE)</f>
        <v>1274.0056293277617</v>
      </c>
      <c r="F23" s="21" t="s">
        <v>73</v>
      </c>
      <c r="G23" s="19" t="str">
        <f t="shared" si="4"/>
        <v>49207.493</v>
      </c>
      <c r="H23" s="12">
        <f t="shared" si="5"/>
        <v>1274</v>
      </c>
      <c r="I23" s="49" t="s">
        <v>145</v>
      </c>
      <c r="J23" s="50" t="s">
        <v>146</v>
      </c>
      <c r="K23" s="49">
        <v>1274</v>
      </c>
      <c r="L23" s="49" t="s">
        <v>147</v>
      </c>
      <c r="M23" s="50" t="s">
        <v>96</v>
      </c>
      <c r="N23" s="50"/>
      <c r="O23" s="51" t="s">
        <v>97</v>
      </c>
      <c r="P23" s="51" t="s">
        <v>148</v>
      </c>
    </row>
    <row r="24" spans="1:16" ht="12.75" customHeight="1" thickBot="1" x14ac:dyDescent="0.25">
      <c r="A24" s="12" t="str">
        <f t="shared" si="0"/>
        <v> BBS 107 </v>
      </c>
      <c r="B24" s="21" t="str">
        <f t="shared" si="1"/>
        <v>I</v>
      </c>
      <c r="C24" s="12">
        <f t="shared" si="2"/>
        <v>49511.527999999998</v>
      </c>
      <c r="D24" s="19" t="str">
        <f t="shared" si="3"/>
        <v>vis</v>
      </c>
      <c r="E24" s="48">
        <f>VLOOKUP(C24,Active!C$21:E$973,3,FALSE)</f>
        <v>1379.0064063822058</v>
      </c>
      <c r="F24" s="21" t="s">
        <v>73</v>
      </c>
      <c r="G24" s="19" t="str">
        <f t="shared" si="4"/>
        <v>49511.528</v>
      </c>
      <c r="H24" s="12">
        <f t="shared" si="5"/>
        <v>1379</v>
      </c>
      <c r="I24" s="49" t="s">
        <v>149</v>
      </c>
      <c r="J24" s="50" t="s">
        <v>150</v>
      </c>
      <c r="K24" s="49">
        <v>1379</v>
      </c>
      <c r="L24" s="49" t="s">
        <v>151</v>
      </c>
      <c r="M24" s="50" t="s">
        <v>96</v>
      </c>
      <c r="N24" s="50"/>
      <c r="O24" s="51" t="s">
        <v>97</v>
      </c>
      <c r="P24" s="51" t="s">
        <v>152</v>
      </c>
    </row>
    <row r="25" spans="1:16" ht="12.75" customHeight="1" thickBot="1" x14ac:dyDescent="0.25">
      <c r="A25" s="12" t="str">
        <f t="shared" si="0"/>
        <v> BBS 109 </v>
      </c>
      <c r="B25" s="21" t="str">
        <f t="shared" si="1"/>
        <v>I</v>
      </c>
      <c r="C25" s="12">
        <f t="shared" si="2"/>
        <v>49844.542000000001</v>
      </c>
      <c r="D25" s="19" t="str">
        <f t="shared" si="3"/>
        <v>vis</v>
      </c>
      <c r="E25" s="48">
        <f>VLOOKUP(C25,Active!C$21:E$973,3,FALSE)</f>
        <v>1494.01529933864</v>
      </c>
      <c r="F25" s="21" t="s">
        <v>73</v>
      </c>
      <c r="G25" s="19" t="str">
        <f t="shared" si="4"/>
        <v>49844.542</v>
      </c>
      <c r="H25" s="12">
        <f t="shared" si="5"/>
        <v>1494</v>
      </c>
      <c r="I25" s="49" t="s">
        <v>153</v>
      </c>
      <c r="J25" s="50" t="s">
        <v>154</v>
      </c>
      <c r="K25" s="49">
        <v>1494</v>
      </c>
      <c r="L25" s="49" t="s">
        <v>155</v>
      </c>
      <c r="M25" s="50" t="s">
        <v>96</v>
      </c>
      <c r="N25" s="50"/>
      <c r="O25" s="51" t="s">
        <v>97</v>
      </c>
      <c r="P25" s="51" t="s">
        <v>156</v>
      </c>
    </row>
    <row r="26" spans="1:16" ht="12.75" customHeight="1" thickBot="1" x14ac:dyDescent="0.25">
      <c r="A26" s="12" t="str">
        <f t="shared" si="0"/>
        <v> BBS 129 </v>
      </c>
      <c r="B26" s="21" t="str">
        <f t="shared" si="1"/>
        <v>I</v>
      </c>
      <c r="C26" s="12">
        <f t="shared" si="2"/>
        <v>52812.47</v>
      </c>
      <c r="D26" s="19" t="str">
        <f t="shared" si="3"/>
        <v>vis</v>
      </c>
      <c r="E26" s="48">
        <f>VLOOKUP(C26,Active!C$21:E$973,3,FALSE)</f>
        <v>2519.0115867451777</v>
      </c>
      <c r="F26" s="21" t="s">
        <v>73</v>
      </c>
      <c r="G26" s="19" t="str">
        <f t="shared" si="4"/>
        <v>52812.470</v>
      </c>
      <c r="H26" s="12">
        <f t="shared" si="5"/>
        <v>2519</v>
      </c>
      <c r="I26" s="49" t="s">
        <v>161</v>
      </c>
      <c r="J26" s="50" t="s">
        <v>162</v>
      </c>
      <c r="K26" s="49">
        <v>2519</v>
      </c>
      <c r="L26" s="49" t="s">
        <v>163</v>
      </c>
      <c r="M26" s="50" t="s">
        <v>96</v>
      </c>
      <c r="N26" s="50"/>
      <c r="O26" s="51" t="s">
        <v>97</v>
      </c>
      <c r="P26" s="51" t="s">
        <v>164</v>
      </c>
    </row>
    <row r="27" spans="1:16" ht="12.75" customHeight="1" thickBot="1" x14ac:dyDescent="0.25">
      <c r="A27" s="12" t="str">
        <f t="shared" si="0"/>
        <v> BBS 130 </v>
      </c>
      <c r="B27" s="21" t="str">
        <f t="shared" si="1"/>
        <v>I</v>
      </c>
      <c r="C27" s="12">
        <f t="shared" si="2"/>
        <v>53171.523000000001</v>
      </c>
      <c r="D27" s="19" t="str">
        <f t="shared" si="3"/>
        <v>vis</v>
      </c>
      <c r="E27" s="48">
        <f>VLOOKUP(C27,Active!C$21:E$973,3,FALSE)</f>
        <v>2643.0132444613282</v>
      </c>
      <c r="F27" s="21" t="s">
        <v>73</v>
      </c>
      <c r="G27" s="19" t="str">
        <f t="shared" si="4"/>
        <v>53171.523</v>
      </c>
      <c r="H27" s="12">
        <f t="shared" si="5"/>
        <v>2643</v>
      </c>
      <c r="I27" s="49" t="s">
        <v>165</v>
      </c>
      <c r="J27" s="50" t="s">
        <v>166</v>
      </c>
      <c r="K27" s="49">
        <v>2643</v>
      </c>
      <c r="L27" s="49" t="s">
        <v>167</v>
      </c>
      <c r="M27" s="50" t="s">
        <v>96</v>
      </c>
      <c r="N27" s="50"/>
      <c r="O27" s="51" t="s">
        <v>97</v>
      </c>
      <c r="P27" s="51" t="s">
        <v>168</v>
      </c>
    </row>
    <row r="28" spans="1:16" ht="12.75" customHeight="1" thickBot="1" x14ac:dyDescent="0.25">
      <c r="A28" s="12" t="str">
        <f t="shared" si="0"/>
        <v>OEJV 0003 </v>
      </c>
      <c r="B28" s="21" t="str">
        <f t="shared" si="1"/>
        <v>I</v>
      </c>
      <c r="C28" s="12">
        <f t="shared" si="2"/>
        <v>53475.55</v>
      </c>
      <c r="D28" s="19" t="str">
        <f t="shared" si="3"/>
        <v>vis</v>
      </c>
      <c r="E28" s="48">
        <f>VLOOKUP(C28,Active!C$21:E$973,3,FALSE)</f>
        <v>2748.0112586555233</v>
      </c>
      <c r="F28" s="21" t="s">
        <v>73</v>
      </c>
      <c r="G28" s="19" t="str">
        <f t="shared" si="4"/>
        <v>53475.550</v>
      </c>
      <c r="H28" s="12">
        <f t="shared" si="5"/>
        <v>2748</v>
      </c>
      <c r="I28" s="49" t="s">
        <v>169</v>
      </c>
      <c r="J28" s="50" t="s">
        <v>170</v>
      </c>
      <c r="K28" s="49">
        <v>2748</v>
      </c>
      <c r="L28" s="49" t="s">
        <v>171</v>
      </c>
      <c r="M28" s="50" t="s">
        <v>96</v>
      </c>
      <c r="N28" s="50"/>
      <c r="O28" s="51" t="s">
        <v>97</v>
      </c>
      <c r="P28" s="52" t="s">
        <v>172</v>
      </c>
    </row>
    <row r="29" spans="1:16" ht="12.75" customHeight="1" thickBot="1" x14ac:dyDescent="0.25">
      <c r="A29" s="12" t="str">
        <f t="shared" si="0"/>
        <v>IBVS 6029 </v>
      </c>
      <c r="B29" s="21" t="str">
        <f t="shared" si="1"/>
        <v>I</v>
      </c>
      <c r="C29" s="12">
        <f t="shared" si="2"/>
        <v>56072.875999999997</v>
      </c>
      <c r="D29" s="19" t="str">
        <f t="shared" si="3"/>
        <v>vis</v>
      </c>
      <c r="E29" s="48">
        <f>VLOOKUP(C29,Active!C$21:E$973,3,FALSE)</f>
        <v>3645.01735421595</v>
      </c>
      <c r="F29" s="21" t="s">
        <v>73</v>
      </c>
      <c r="G29" s="19" t="str">
        <f t="shared" si="4"/>
        <v>56072.8760</v>
      </c>
      <c r="H29" s="12">
        <f t="shared" si="5"/>
        <v>3645</v>
      </c>
      <c r="I29" s="49" t="s">
        <v>180</v>
      </c>
      <c r="J29" s="50" t="s">
        <v>181</v>
      </c>
      <c r="K29" s="49">
        <v>3645</v>
      </c>
      <c r="L29" s="49" t="s">
        <v>182</v>
      </c>
      <c r="M29" s="50" t="s">
        <v>176</v>
      </c>
      <c r="N29" s="50" t="s">
        <v>73</v>
      </c>
      <c r="O29" s="51" t="s">
        <v>183</v>
      </c>
      <c r="P29" s="52" t="s">
        <v>184</v>
      </c>
    </row>
    <row r="30" spans="1:16" ht="12.75" customHeight="1" thickBot="1" x14ac:dyDescent="0.25">
      <c r="A30" s="12" t="str">
        <f t="shared" si="0"/>
        <v> KVBB 19.68 </v>
      </c>
      <c r="B30" s="21" t="str">
        <f t="shared" si="1"/>
        <v>I</v>
      </c>
      <c r="C30" s="12">
        <f t="shared" si="2"/>
        <v>25501.360000000001</v>
      </c>
      <c r="D30" s="19" t="str">
        <f t="shared" si="3"/>
        <v>vis</v>
      </c>
      <c r="E30" s="48">
        <f>VLOOKUP(C30,Active!C$21:E$973,3,FALSE)</f>
        <v>-6913.0859422216854</v>
      </c>
      <c r="F30" s="21" t="s">
        <v>73</v>
      </c>
      <c r="G30" s="19" t="str">
        <f t="shared" si="4"/>
        <v>25501.360</v>
      </c>
      <c r="H30" s="12">
        <f t="shared" si="5"/>
        <v>-6913</v>
      </c>
      <c r="I30" s="49" t="s">
        <v>75</v>
      </c>
      <c r="J30" s="50" t="s">
        <v>76</v>
      </c>
      <c r="K30" s="49">
        <v>-6913</v>
      </c>
      <c r="L30" s="49" t="s">
        <v>77</v>
      </c>
      <c r="M30" s="50" t="s">
        <v>78</v>
      </c>
      <c r="N30" s="50"/>
      <c r="O30" s="51" t="s">
        <v>79</v>
      </c>
      <c r="P30" s="51" t="s">
        <v>80</v>
      </c>
    </row>
    <row r="31" spans="1:16" ht="12.75" customHeight="1" thickBot="1" x14ac:dyDescent="0.25">
      <c r="A31" s="12" t="str">
        <f t="shared" si="0"/>
        <v> KVBB 19.68 </v>
      </c>
      <c r="B31" s="21" t="str">
        <f t="shared" si="1"/>
        <v>I</v>
      </c>
      <c r="C31" s="12">
        <f t="shared" si="2"/>
        <v>25689.627</v>
      </c>
      <c r="D31" s="19" t="str">
        <f t="shared" si="3"/>
        <v>vis</v>
      </c>
      <c r="E31" s="48">
        <f>VLOOKUP(C31,Active!C$21:E$973,3,FALSE)</f>
        <v>-6848.0665158605452</v>
      </c>
      <c r="F31" s="21" t="s">
        <v>73</v>
      </c>
      <c r="G31" s="19" t="str">
        <f t="shared" si="4"/>
        <v>25689.627</v>
      </c>
      <c r="H31" s="12">
        <f t="shared" si="5"/>
        <v>-6848</v>
      </c>
      <c r="I31" s="49" t="s">
        <v>81</v>
      </c>
      <c r="J31" s="50" t="s">
        <v>82</v>
      </c>
      <c r="K31" s="49">
        <v>-6848</v>
      </c>
      <c r="L31" s="49" t="s">
        <v>83</v>
      </c>
      <c r="M31" s="50" t="s">
        <v>78</v>
      </c>
      <c r="N31" s="50"/>
      <c r="O31" s="51" t="s">
        <v>79</v>
      </c>
      <c r="P31" s="51" t="s">
        <v>80</v>
      </c>
    </row>
    <row r="32" spans="1:16" ht="12.75" customHeight="1" thickBot="1" x14ac:dyDescent="0.25">
      <c r="A32" s="12" t="str">
        <f t="shared" si="0"/>
        <v> KVBB 19.68 </v>
      </c>
      <c r="B32" s="21" t="str">
        <f t="shared" si="1"/>
        <v>I</v>
      </c>
      <c r="C32" s="12">
        <f t="shared" si="2"/>
        <v>25776.477999999999</v>
      </c>
      <c r="D32" s="19" t="str">
        <f t="shared" si="3"/>
        <v>vis</v>
      </c>
      <c r="E32" s="48">
        <f>VLOOKUP(C32,Active!C$21:E$973,3,FALSE)</f>
        <v>-6818.0718689022815</v>
      </c>
      <c r="F32" s="21" t="s">
        <v>73</v>
      </c>
      <c r="G32" s="19" t="str">
        <f t="shared" si="4"/>
        <v>25776.478</v>
      </c>
      <c r="H32" s="12">
        <f t="shared" si="5"/>
        <v>-6818</v>
      </c>
      <c r="I32" s="49" t="s">
        <v>84</v>
      </c>
      <c r="J32" s="50" t="s">
        <v>85</v>
      </c>
      <c r="K32" s="49">
        <v>-6818</v>
      </c>
      <c r="L32" s="49" t="s">
        <v>86</v>
      </c>
      <c r="M32" s="50" t="s">
        <v>78</v>
      </c>
      <c r="N32" s="50"/>
      <c r="O32" s="51" t="s">
        <v>79</v>
      </c>
      <c r="P32" s="51" t="s">
        <v>80</v>
      </c>
    </row>
    <row r="33" spans="1:16" ht="12.75" customHeight="1" thickBot="1" x14ac:dyDescent="0.25">
      <c r="A33" s="12" t="str">
        <f t="shared" si="0"/>
        <v> KVBB 19.68 </v>
      </c>
      <c r="B33" s="21" t="str">
        <f t="shared" si="1"/>
        <v>I</v>
      </c>
      <c r="C33" s="12">
        <f t="shared" si="2"/>
        <v>26413.603999999999</v>
      </c>
      <c r="D33" s="19" t="str">
        <f t="shared" si="3"/>
        <v>vis</v>
      </c>
      <c r="E33" s="48">
        <f>VLOOKUP(C33,Active!C$21:E$973,3,FALSE)</f>
        <v>-6598.0356063614863</v>
      </c>
      <c r="F33" s="21" t="s">
        <v>73</v>
      </c>
      <c r="G33" s="19" t="str">
        <f t="shared" si="4"/>
        <v>26413.604</v>
      </c>
      <c r="H33" s="12">
        <f t="shared" si="5"/>
        <v>-6598</v>
      </c>
      <c r="I33" s="49" t="s">
        <v>87</v>
      </c>
      <c r="J33" s="50" t="s">
        <v>88</v>
      </c>
      <c r="K33" s="49">
        <v>-6598</v>
      </c>
      <c r="L33" s="49" t="s">
        <v>89</v>
      </c>
      <c r="M33" s="50" t="s">
        <v>78</v>
      </c>
      <c r="N33" s="50"/>
      <c r="O33" s="51" t="s">
        <v>79</v>
      </c>
      <c r="P33" s="51" t="s">
        <v>80</v>
      </c>
    </row>
    <row r="34" spans="1:16" ht="12.75" customHeight="1" thickBot="1" x14ac:dyDescent="0.25">
      <c r="A34" s="12" t="str">
        <f t="shared" si="0"/>
        <v> KVBB 19.68 </v>
      </c>
      <c r="B34" s="21" t="str">
        <f t="shared" si="1"/>
        <v>I</v>
      </c>
      <c r="C34" s="12">
        <f t="shared" si="2"/>
        <v>26769.631000000001</v>
      </c>
      <c r="D34" s="19" t="str">
        <f t="shared" si="3"/>
        <v>vis</v>
      </c>
      <c r="E34" s="48">
        <f>VLOOKUP(C34,Active!C$21:E$973,3,FALSE)</f>
        <v>-6475.0790005353047</v>
      </c>
      <c r="F34" s="21" t="s">
        <v>73</v>
      </c>
      <c r="G34" s="19" t="str">
        <f t="shared" si="4"/>
        <v>26769.631</v>
      </c>
      <c r="H34" s="12">
        <f t="shared" si="5"/>
        <v>-6475</v>
      </c>
      <c r="I34" s="49" t="s">
        <v>90</v>
      </c>
      <c r="J34" s="50" t="s">
        <v>91</v>
      </c>
      <c r="K34" s="49">
        <v>-6475</v>
      </c>
      <c r="L34" s="49" t="s">
        <v>92</v>
      </c>
      <c r="M34" s="50" t="s">
        <v>78</v>
      </c>
      <c r="N34" s="50"/>
      <c r="O34" s="51" t="s">
        <v>79</v>
      </c>
      <c r="P34" s="51" t="s">
        <v>80</v>
      </c>
    </row>
    <row r="35" spans="1:16" ht="12.75" customHeight="1" thickBot="1" x14ac:dyDescent="0.25">
      <c r="A35" s="12" t="str">
        <f t="shared" si="0"/>
        <v> BBS 123 </v>
      </c>
      <c r="B35" s="21" t="str">
        <f t="shared" si="1"/>
        <v>I</v>
      </c>
      <c r="C35" s="12">
        <f t="shared" si="2"/>
        <v>51758.478999999999</v>
      </c>
      <c r="D35" s="19" t="str">
        <f t="shared" si="3"/>
        <v>vis</v>
      </c>
      <c r="E35" s="48">
        <f>VLOOKUP(C35,Active!C$21:E$973,3,FALSE)</f>
        <v>2155.007856883838</v>
      </c>
      <c r="F35" s="21" t="s">
        <v>73</v>
      </c>
      <c r="G35" s="19" t="str">
        <f t="shared" si="4"/>
        <v>51758.479</v>
      </c>
      <c r="H35" s="12">
        <f t="shared" si="5"/>
        <v>2155</v>
      </c>
      <c r="I35" s="49" t="s">
        <v>157</v>
      </c>
      <c r="J35" s="50" t="s">
        <v>158</v>
      </c>
      <c r="K35" s="49">
        <v>2155</v>
      </c>
      <c r="L35" s="49" t="s">
        <v>159</v>
      </c>
      <c r="M35" s="50" t="s">
        <v>96</v>
      </c>
      <c r="N35" s="50"/>
      <c r="O35" s="51" t="s">
        <v>97</v>
      </c>
      <c r="P35" s="51" t="s">
        <v>160</v>
      </c>
    </row>
    <row r="36" spans="1:16" ht="12.75" customHeight="1" thickBot="1" x14ac:dyDescent="0.25">
      <c r="A36" s="12" t="str">
        <f t="shared" si="0"/>
        <v>VSB 48 </v>
      </c>
      <c r="B36" s="21" t="str">
        <f t="shared" si="1"/>
        <v>I</v>
      </c>
      <c r="C36" s="12">
        <f t="shared" si="2"/>
        <v>54564.298199999997</v>
      </c>
      <c r="D36" s="19" t="str">
        <f t="shared" si="3"/>
        <v>vis</v>
      </c>
      <c r="E36" s="48">
        <f>VLOOKUP(C36,Active!C$21:E$973,3,FALSE)</f>
        <v>3124.0186493066931</v>
      </c>
      <c r="F36" s="21" t="s">
        <v>73</v>
      </c>
      <c r="G36" s="19" t="str">
        <f t="shared" si="4"/>
        <v>54564.2982</v>
      </c>
      <c r="H36" s="12">
        <f t="shared" si="5"/>
        <v>3124</v>
      </c>
      <c r="I36" s="49" t="s">
        <v>173</v>
      </c>
      <c r="J36" s="50" t="s">
        <v>174</v>
      </c>
      <c r="K36" s="49">
        <v>3124</v>
      </c>
      <c r="L36" s="49" t="s">
        <v>175</v>
      </c>
      <c r="M36" s="50" t="s">
        <v>176</v>
      </c>
      <c r="N36" s="50" t="s">
        <v>177</v>
      </c>
      <c r="O36" s="51" t="s">
        <v>178</v>
      </c>
      <c r="P36" s="52" t="s">
        <v>179</v>
      </c>
    </row>
    <row r="37" spans="1:16" x14ac:dyDescent="0.2">
      <c r="B37" s="21"/>
      <c r="F37" s="21"/>
    </row>
    <row r="38" spans="1:16" x14ac:dyDescent="0.2">
      <c r="B38" s="21"/>
      <c r="F38" s="21"/>
    </row>
    <row r="39" spans="1:16" x14ac:dyDescent="0.2">
      <c r="B39" s="21"/>
      <c r="F39" s="21"/>
    </row>
    <row r="40" spans="1:16" x14ac:dyDescent="0.2">
      <c r="B40" s="21"/>
      <c r="F40" s="21"/>
    </row>
    <row r="41" spans="1:16" x14ac:dyDescent="0.2">
      <c r="B41" s="21"/>
      <c r="F41" s="21"/>
    </row>
    <row r="42" spans="1:16" x14ac:dyDescent="0.2">
      <c r="B42" s="21"/>
      <c r="F42" s="21"/>
    </row>
    <row r="43" spans="1:16" x14ac:dyDescent="0.2">
      <c r="B43" s="21"/>
      <c r="F43" s="21"/>
    </row>
    <row r="44" spans="1:16" x14ac:dyDescent="0.2">
      <c r="B44" s="21"/>
      <c r="F44" s="21"/>
    </row>
    <row r="45" spans="1:16" x14ac:dyDescent="0.2">
      <c r="B45" s="21"/>
      <c r="F45" s="21"/>
    </row>
    <row r="46" spans="1:16" x14ac:dyDescent="0.2">
      <c r="B46" s="21"/>
      <c r="F46" s="21"/>
    </row>
    <row r="47" spans="1:16" x14ac:dyDescent="0.2">
      <c r="B47" s="21"/>
      <c r="F47" s="21"/>
    </row>
    <row r="48" spans="1:16" x14ac:dyDescent="0.2">
      <c r="B48" s="21"/>
      <c r="F48" s="21"/>
    </row>
    <row r="49" spans="2:6" x14ac:dyDescent="0.2">
      <c r="B49" s="21"/>
      <c r="F49" s="21"/>
    </row>
    <row r="50" spans="2:6" x14ac:dyDescent="0.2">
      <c r="B50" s="21"/>
      <c r="F50" s="21"/>
    </row>
    <row r="51" spans="2:6" x14ac:dyDescent="0.2">
      <c r="B51" s="21"/>
      <c r="F51" s="21"/>
    </row>
    <row r="52" spans="2:6" x14ac:dyDescent="0.2">
      <c r="B52" s="21"/>
      <c r="F52" s="21"/>
    </row>
    <row r="53" spans="2:6" x14ac:dyDescent="0.2">
      <c r="B53" s="21"/>
      <c r="F53" s="21"/>
    </row>
    <row r="54" spans="2:6" x14ac:dyDescent="0.2">
      <c r="B54" s="21"/>
      <c r="F54" s="21"/>
    </row>
    <row r="55" spans="2:6" x14ac:dyDescent="0.2">
      <c r="B55" s="21"/>
      <c r="F55" s="21"/>
    </row>
    <row r="56" spans="2:6" x14ac:dyDescent="0.2">
      <c r="B56" s="21"/>
      <c r="F56" s="21"/>
    </row>
    <row r="57" spans="2:6" x14ac:dyDescent="0.2">
      <c r="B57" s="21"/>
      <c r="F57" s="21"/>
    </row>
    <row r="58" spans="2:6" x14ac:dyDescent="0.2">
      <c r="B58" s="21"/>
      <c r="F58" s="21"/>
    </row>
    <row r="59" spans="2:6" x14ac:dyDescent="0.2">
      <c r="B59" s="21"/>
      <c r="F59" s="21"/>
    </row>
    <row r="60" spans="2:6" x14ac:dyDescent="0.2">
      <c r="B60" s="21"/>
      <c r="F60" s="21"/>
    </row>
    <row r="61" spans="2:6" x14ac:dyDescent="0.2">
      <c r="B61" s="21"/>
      <c r="F61" s="21"/>
    </row>
    <row r="62" spans="2:6" x14ac:dyDescent="0.2">
      <c r="B62" s="21"/>
      <c r="F62" s="21"/>
    </row>
    <row r="63" spans="2:6" x14ac:dyDescent="0.2">
      <c r="B63" s="21"/>
      <c r="F63" s="21"/>
    </row>
    <row r="64" spans="2:6" x14ac:dyDescent="0.2">
      <c r="B64" s="21"/>
      <c r="F64" s="21"/>
    </row>
    <row r="65" spans="2:6" x14ac:dyDescent="0.2">
      <c r="B65" s="21"/>
      <c r="F65" s="21"/>
    </row>
    <row r="66" spans="2:6" x14ac:dyDescent="0.2">
      <c r="B66" s="21"/>
      <c r="F66" s="21"/>
    </row>
    <row r="67" spans="2:6" x14ac:dyDescent="0.2">
      <c r="B67" s="21"/>
      <c r="F67" s="21"/>
    </row>
    <row r="68" spans="2:6" x14ac:dyDescent="0.2">
      <c r="B68" s="21"/>
      <c r="F68" s="21"/>
    </row>
    <row r="69" spans="2:6" x14ac:dyDescent="0.2">
      <c r="B69" s="21"/>
      <c r="F69" s="21"/>
    </row>
    <row r="70" spans="2:6" x14ac:dyDescent="0.2">
      <c r="B70" s="21"/>
      <c r="F70" s="21"/>
    </row>
    <row r="71" spans="2:6" x14ac:dyDescent="0.2">
      <c r="B71" s="21"/>
      <c r="F71" s="21"/>
    </row>
    <row r="72" spans="2:6" x14ac:dyDescent="0.2">
      <c r="B72" s="21"/>
      <c r="F72" s="21"/>
    </row>
    <row r="73" spans="2:6" x14ac:dyDescent="0.2">
      <c r="B73" s="21"/>
      <c r="F73" s="21"/>
    </row>
    <row r="74" spans="2:6" x14ac:dyDescent="0.2">
      <c r="B74" s="21"/>
      <c r="F74" s="21"/>
    </row>
    <row r="75" spans="2:6" x14ac:dyDescent="0.2">
      <c r="B75" s="21"/>
      <c r="F75" s="21"/>
    </row>
    <row r="76" spans="2:6" x14ac:dyDescent="0.2">
      <c r="B76" s="21"/>
      <c r="F76" s="21"/>
    </row>
    <row r="77" spans="2:6" x14ac:dyDescent="0.2">
      <c r="B77" s="21"/>
      <c r="F77" s="21"/>
    </row>
    <row r="78" spans="2:6" x14ac:dyDescent="0.2">
      <c r="B78" s="21"/>
      <c r="F78" s="21"/>
    </row>
    <row r="79" spans="2:6" x14ac:dyDescent="0.2">
      <c r="B79" s="21"/>
      <c r="F79" s="21"/>
    </row>
    <row r="80" spans="2: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</sheetData>
  <phoneticPr fontId="7" type="noConversion"/>
  <hyperlinks>
    <hyperlink ref="P28" r:id="rId1" display="http://var.astro.cz/oejv/issues/oejv0003.pdf"/>
    <hyperlink ref="P36" r:id="rId2" display="http://vsolj.cetus-net.org/no48.pdf"/>
    <hyperlink ref="P29" r:id="rId3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2024-02-25T06:54:11Z</dcterms:modified>
</cp:coreProperties>
</file>