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8998A7D-CAF8-46CC-AA94-9B4412D8DD5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G11" i="1"/>
  <c r="F11" i="1"/>
  <c r="E14" i="1"/>
  <c r="E15" i="1" s="1"/>
  <c r="C17" i="1"/>
  <c r="Q21" i="1"/>
  <c r="C7" i="1"/>
  <c r="E24" i="1"/>
  <c r="F24" i="1"/>
  <c r="Q23" i="1"/>
  <c r="R23" i="1"/>
  <c r="C8" i="1"/>
  <c r="Q22" i="1"/>
  <c r="E23" i="1"/>
  <c r="F23" i="1"/>
  <c r="G23" i="1"/>
  <c r="J23" i="1"/>
  <c r="E21" i="1"/>
  <c r="F21" i="1"/>
  <c r="G21" i="1"/>
  <c r="H21" i="1"/>
  <c r="G24" i="1"/>
  <c r="J24" i="1"/>
  <c r="E22" i="1"/>
  <c r="F22" i="1"/>
  <c r="G22" i="1"/>
  <c r="I22" i="1"/>
  <c r="C12" i="1"/>
  <c r="C16" i="1" l="1"/>
  <c r="D18" i="1" s="1"/>
  <c r="C11" i="1"/>
  <c r="O24" i="1" l="1"/>
  <c r="C15" i="1"/>
  <c r="O21" i="1"/>
  <c r="O23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<sst xmlns="http://schemas.openxmlformats.org/spreadsheetml/2006/main" count="51" uniqueCount="48">
  <si>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</si>
  <si>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</si>
  <si>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</si>
  <si>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</si>
  <si>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</si>
  <si>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</si>
  <si>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</si>
  <si>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</si>
  <si>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</si>
  <si>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</si>
  <si>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</si>
  <si>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</si>
  <si>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</si>
  <si>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</si>
  <si>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</si>
  <si>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</si>
  <si>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</si>
  <si>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</si>
  <si>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</si>
  <si>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</si>
  <si>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</si>
  <si>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</si>
  <si>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</si>
  <si>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</si>
  <si>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</si>
  <si>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</si>
  <si>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</si>
  <si>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</si>
  <si>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</si>
  <si>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</si>
  <si>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</si>
  <si>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</si>
  <si>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</si>
  <si>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</si>
  <si>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</si>
  <si>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Kreimer</t>
  </si>
  <si>
    <t>IBVS 5543</t>
  </si>
  <si>
    <t>J.M. Kreiner, 2004, Acta Astronomica, vol. 54, pp 207-210.</t>
  </si>
  <si>
    <t>(HJDo only)</t>
  </si>
  <si>
    <t>GCVS</t>
  </si>
  <si>
    <t>V0415 Oph / GSC 0430-3104</t>
  </si>
  <si>
    <t>Add cycle</t>
  </si>
  <si>
    <t>Old Cycle</t>
  </si>
  <si>
    <t>OEJV 116</t>
  </si>
  <si>
    <t>I</t>
  </si>
  <si>
    <t>EA:</t>
  </si>
  <si>
    <t>CCD</t>
  </si>
  <si>
    <t>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</si>
</sst>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6" fillId="0" borderId="1" xfId="0" applyFont="1" applyBorder="1" applyAlignment="1">
      <alignment vertical="center"/>
    </xf>
    <xf numFmtId="0" fontId="0" fillId="0" borderId="0" xfId="0" quotePrefix="1" applyAlignme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4" fillId="0" borderId="0" xfId="0" applyFont="1">
      <alignment vertical="top"/>
    </xf>
    <xf numFmtId="0" fontId="14" fillId="0" borderId="0" xfId="0" applyNumberFormat="1" applyFont="1" applyFill="1" applyBorder="1" applyAlignment="1" applyProtection="1">
      <alignment horizontal="center" vertical="top"/>
    </xf>
    <xf numFmtId="172" fontId="14" fillId="0" borderId="0" xfId="0" applyNumberFormat="1" applyFont="1" applyFill="1" applyBorder="1" applyAlignment="1" applyProtection="1">
      <alignment horizontal="left" vertical="top"/>
    </xf>
    <xf numFmtId="0" fontId="15" fillId="0" borderId="1" xfId="0" applyFont="1" applyBorder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V0415 Oph - O-C Diagr.</a:t>
            </a:r>
          </a:p>
        </c:rich>
      </c:tx>
      <c:layout>
        <c:manualLayout>
          <c:xMode val="edge"/>
          <c:yMode val="edge"/>
          <c:x val="0.37293233082706767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860681114551083"/>
          <c:w val="0.82406015037593983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6941</c:v>
                </c:pt>
                <c:pt idx="2">
                  <c:v>7069</c:v>
                </c:pt>
                <c:pt idx="3">
                  <c:v>7929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4-4213-B4AE-A1A3EAC9A2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Kreimer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6941</c:v>
                </c:pt>
                <c:pt idx="2">
                  <c:v>7069</c:v>
                </c:pt>
                <c:pt idx="3">
                  <c:v>7929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-3.3090999997511972E-2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894-4213-B4AE-A1A3EAC9A2B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6941</c:v>
                </c:pt>
                <c:pt idx="2">
                  <c:v>7069</c:v>
                </c:pt>
                <c:pt idx="3">
                  <c:v>7929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-2.5419000005058479E-2</c:v>
                </c:pt>
                <c:pt idx="3">
                  <c:v>-1.2279000002308749E-2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94-4213-B4AE-A1A3EAC9A2B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6941</c:v>
                </c:pt>
                <c:pt idx="2">
                  <c:v>7069</c:v>
                </c:pt>
                <c:pt idx="3">
                  <c:v>7929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94-4213-B4AE-A1A3EAC9A2B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6941</c:v>
                </c:pt>
                <c:pt idx="2">
                  <c:v>7069</c:v>
                </c:pt>
                <c:pt idx="3">
                  <c:v>7929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894-4213-B4AE-A1A3EAC9A2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6941</c:v>
                </c:pt>
                <c:pt idx="2">
                  <c:v>7069</c:v>
                </c:pt>
                <c:pt idx="3">
                  <c:v>7929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894-4213-B4AE-A1A3EAC9A2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8.0000000000000002E-3</c:v>
                  </c:pt>
                  <c:pt idx="3">
                    <c:v>3.0000000000000001E-3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6941</c:v>
                </c:pt>
                <c:pt idx="2">
                  <c:v>7069</c:v>
                </c:pt>
                <c:pt idx="3">
                  <c:v>7929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894-4213-B4AE-A1A3EAC9A2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6941</c:v>
                </c:pt>
                <c:pt idx="2">
                  <c:v>7069</c:v>
                </c:pt>
                <c:pt idx="3">
                  <c:v>7929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-0.16226569628710394</c:v>
                </c:pt>
                <c:pt idx="1">
                  <c:v>-3.0650210405682776E-2</c:v>
                </c:pt>
                <c:pt idx="2">
                  <c:v>-2.8223069908229675E-2</c:v>
                </c:pt>
                <c:pt idx="3">
                  <c:v>-1.191571969096672E-2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894-4213-B4AE-A1A3EAC9A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884368"/>
        <c:axId val="1"/>
      </c:scatterChart>
      <c:valAx>
        <c:axId val="824884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884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1950464396284826"/>
          <c:w val="0.71729323308270676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18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19F370-2BF4-DCCF-C015-446F5241B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s="37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34890.415000000001</v>
      </c>
      <c r="D4" s="9">
        <v>2.5371510000000002</v>
      </c>
    </row>
    <row r="5" spans="1:7" x14ac:dyDescent="0.2">
      <c r="A5" s="30" t="s">
        <v>38</v>
      </c>
      <c r="D5" s="29" t="s">
        <v>37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34890.415000000001</v>
      </c>
    </row>
    <row r="8" spans="1:7" x14ac:dyDescent="0.2">
      <c r="A8" t="s">
        <v>3</v>
      </c>
      <c r="C8">
        <f>+D4</f>
        <v>2.5371510000000002</v>
      </c>
    </row>
    <row r="9" spans="1:7" x14ac:dyDescent="0.2">
      <c r="A9" s="11" t="s">
        <v>28</v>
      </c>
      <c r="B9" s="12"/>
      <c r="C9" s="13">
        <v>-9.5</v>
      </c>
      <c r="D9" s="12" t="s">
        <v>29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-0.16226569628710394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16</v>
      </c>
      <c r="B12" s="12"/>
      <c r="C12" s="24">
        <f ca="1">SLOPE(INDIRECT($G$11):G992,INDIRECT($F$11):F992)</f>
        <v>1.8962035136352279E-5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41</v>
      </c>
      <c r="E13" s="13">
        <v>1</v>
      </c>
    </row>
    <row r="14" spans="1:7" x14ac:dyDescent="0.2">
      <c r="A14" s="12"/>
      <c r="B14" s="12"/>
      <c r="C14" s="12"/>
      <c r="D14" s="16" t="s">
        <v>30</v>
      </c>
      <c r="E14" s="17">
        <f ca="1">NOW()+15018.5+$C$9/24</f>
        <v>60365.830030671292</v>
      </c>
    </row>
    <row r="15" spans="1:7" x14ac:dyDescent="0.2">
      <c r="A15" s="14" t="s">
        <v>17</v>
      </c>
      <c r="B15" s="12"/>
      <c r="C15" s="15">
        <f ca="1">(C7+C11)+(C8+C12)*INT(MAX(F21:F3533))</f>
        <v>55007.473363280311</v>
      </c>
      <c r="D15" s="16" t="s">
        <v>42</v>
      </c>
      <c r="E15" s="17">
        <f ca="1">ROUND(2*(E14-$C$7)/$C$8,0)/2+E13</f>
        <v>10042</v>
      </c>
    </row>
    <row r="16" spans="1:7" x14ac:dyDescent="0.2">
      <c r="A16" s="18" t="s">
        <v>4</v>
      </c>
      <c r="B16" s="12"/>
      <c r="C16" s="19">
        <f ca="1">+C8+C12</f>
        <v>2.5371699620351365</v>
      </c>
      <c r="D16" s="16" t="s">
        <v>31</v>
      </c>
      <c r="E16" s="26">
        <f ca="1">ROUND(2*(E14-$C$15)/$C$16,0)/2+E13</f>
        <v>2113</v>
      </c>
    </row>
    <row r="17" spans="1:18" ht="13.5" thickBot="1" x14ac:dyDescent="0.25">
      <c r="A17" s="16" t="s">
        <v>27</v>
      </c>
      <c r="B17" s="12"/>
      <c r="C17" s="12">
        <f>COUNT(C21:C2191)</f>
        <v>4</v>
      </c>
      <c r="D17" s="16" t="s">
        <v>32</v>
      </c>
      <c r="E17" s="20">
        <f ca="1">+$C$15+$C$16*E16-15018.5-$C$9/24</f>
        <v>45350.409326393892</v>
      </c>
    </row>
    <row r="18" spans="1:18" ht="14.25" thickTop="1" thickBot="1" x14ac:dyDescent="0.25">
      <c r="A18" s="18" t="s">
        <v>5</v>
      </c>
      <c r="B18" s="12"/>
      <c r="C18" s="21">
        <f ca="1">+C15</f>
        <v>55007.473363280311</v>
      </c>
      <c r="D18" s="22">
        <f ca="1">+C16</f>
        <v>2.5371699620351365</v>
      </c>
      <c r="E18" s="23" t="s">
        <v>33</v>
      </c>
    </row>
    <row r="19" spans="1:18" ht="13.5" thickTop="1" x14ac:dyDescent="0.2">
      <c r="A19" s="27" t="s">
        <v>34</v>
      </c>
      <c r="E19" s="28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35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</row>
    <row r="21" spans="1:18" x14ac:dyDescent="0.2">
      <c r="A21" t="s">
        <v>39</v>
      </c>
      <c r="C21" s="10">
        <v>34890.415000000001</v>
      </c>
      <c r="D21" s="10"/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-0.16226569628710394</v>
      </c>
      <c r="Q21" s="2">
        <f>+C21-15018.5</f>
        <v>19871.915000000001</v>
      </c>
    </row>
    <row r="22" spans="1:18" x14ac:dyDescent="0.2">
      <c r="A22" t="s">
        <v>35</v>
      </c>
      <c r="C22" s="10">
        <v>52500.747000000003</v>
      </c>
      <c r="D22" s="10" t="s">
        <v>13</v>
      </c>
      <c r="E22">
        <f>+(C22-C$7)/C$8</f>
        <v>6940.9869574179866</v>
      </c>
      <c r="F22">
        <f>ROUND(2*E22,0)/2</f>
        <v>6941</v>
      </c>
      <c r="G22">
        <f>+C22-(C$7+F22*C$8)</f>
        <v>-3.3090999997511972E-2</v>
      </c>
      <c r="I22">
        <f>+G22</f>
        <v>-3.3090999997511972E-2</v>
      </c>
      <c r="O22">
        <f ca="1">+C$11+C$12*$F22</f>
        <v>-3.0650210405682776E-2</v>
      </c>
      <c r="Q22" s="2">
        <f>+C22-15018.5</f>
        <v>37482.247000000003</v>
      </c>
    </row>
    <row r="23" spans="1:18" x14ac:dyDescent="0.2">
      <c r="A23" s="32" t="s">
        <v>36</v>
      </c>
      <c r="B23" s="31"/>
      <c r="C23" s="32">
        <v>52825.51</v>
      </c>
      <c r="D23" s="33">
        <v>8.0000000000000002E-3</v>
      </c>
      <c r="E23">
        <f>+(C23-C$7)/C$8</f>
        <v>7068.989981282155</v>
      </c>
      <c r="F23">
        <f>ROUND(2*E23,0)/2</f>
        <v>7069</v>
      </c>
      <c r="G23">
        <f>+C23-(C$7+F23*C$8)</f>
        <v>-2.5419000005058479E-2</v>
      </c>
      <c r="J23">
        <f>+G23</f>
        <v>-2.5419000005058479E-2</v>
      </c>
      <c r="O23">
        <f ca="1">+C$11+C$12*$F23</f>
        <v>-2.8223069908229675E-2</v>
      </c>
      <c r="Q23" s="2">
        <f>+C23-15018.5</f>
        <v>37807.01</v>
      </c>
      <c r="R23" t="str">
        <f>IF(ABS(C23-C22)&lt;0.00001,1,"")</f>
        <v/>
      </c>
    </row>
    <row r="24" spans="1:18" x14ac:dyDescent="0.2">
      <c r="A24" s="34" t="s">
        <v>43</v>
      </c>
      <c r="B24" s="35" t="s">
        <v>44</v>
      </c>
      <c r="C24" s="36">
        <v>55007.472999999998</v>
      </c>
      <c r="D24" s="36">
        <v>3.0000000000000001E-3</v>
      </c>
      <c r="E24">
        <f>+(C24-C$7)/C$8</f>
        <v>7928.995160319585</v>
      </c>
      <c r="F24">
        <f>ROUND(2*E24,0)/2</f>
        <v>7929</v>
      </c>
      <c r="G24">
        <f>+C24-(C$7+F24*C$8)</f>
        <v>-1.2279000002308749E-2</v>
      </c>
      <c r="J24">
        <f>+G24</f>
        <v>-1.2279000002308749E-2</v>
      </c>
      <c r="O24">
        <f ca="1">+C$11+C$12*$F24</f>
        <v>-1.191571969096672E-2</v>
      </c>
      <c r="Q24" s="2">
        <f>+C24-15018.5</f>
        <v>39988.972999999998</v>
      </c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2024-02-25T06:55:14Z</dcterms:modified>
</cp:coreProperties>
</file>