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FB75BB50-FDA4-4E85-AC5E-58DC3694B513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21" i="1" l="1"/>
  <c r="Q22" i="1"/>
  <c r="Q23" i="1"/>
  <c r="Q24" i="1"/>
  <c r="G12" i="2"/>
  <c r="C12" i="2"/>
  <c r="G11" i="2"/>
  <c r="C11" i="2"/>
  <c r="G16" i="2"/>
  <c r="C16" i="2"/>
  <c r="G15" i="2"/>
  <c r="C15" i="2"/>
  <c r="G14" i="2"/>
  <c r="C14" i="2"/>
  <c r="G13" i="2"/>
  <c r="C13" i="2"/>
  <c r="H12" i="2"/>
  <c r="D12" i="2"/>
  <c r="B12" i="2"/>
  <c r="A12" i="2"/>
  <c r="H11" i="2"/>
  <c r="B11" i="2"/>
  <c r="D11" i="2"/>
  <c r="A11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G11" i="1"/>
  <c r="F11" i="1"/>
  <c r="C7" i="1"/>
  <c r="E21" i="1"/>
  <c r="F21" i="1"/>
  <c r="C8" i="1"/>
  <c r="E14" i="1"/>
  <c r="C17" i="1"/>
  <c r="Q26" i="1"/>
  <c r="Q25" i="1"/>
  <c r="E13" i="2"/>
  <c r="E15" i="2"/>
  <c r="G25" i="1"/>
  <c r="H25" i="1"/>
  <c r="E23" i="1"/>
  <c r="F23" i="1"/>
  <c r="G23" i="1"/>
  <c r="K23" i="1"/>
  <c r="E25" i="1"/>
  <c r="F25" i="1"/>
  <c r="E22" i="1"/>
  <c r="F22" i="1"/>
  <c r="G22" i="1"/>
  <c r="K22" i="1"/>
  <c r="G26" i="1"/>
  <c r="I26" i="1"/>
  <c r="E24" i="1"/>
  <c r="F24" i="1"/>
  <c r="G24" i="1"/>
  <c r="K24" i="1"/>
  <c r="G21" i="1"/>
  <c r="E26" i="1"/>
  <c r="F26" i="1"/>
  <c r="E16" i="2"/>
  <c r="E14" i="2"/>
  <c r="K21" i="1"/>
  <c r="E12" i="2"/>
  <c r="E11" i="2"/>
  <c r="C11" i="1"/>
  <c r="E15" i="1" l="1"/>
  <c r="C12" i="1"/>
  <c r="C16" i="1" l="1"/>
  <c r="D18" i="1" s="1"/>
  <c r="O26" i="1"/>
  <c r="O25" i="1"/>
  <c r="O21" i="1"/>
  <c r="O24" i="1"/>
  <c r="C15" i="1"/>
  <c r="O22" i="1"/>
  <c r="O23" i="1"/>
  <c r="C18" i="1" l="1"/>
  <c r="E16" i="1"/>
  <c r="E17" i="1" s="1"/>
</calcChain>
</file>

<file path=xl/sharedStrings.xml><?xml version="1.0" encoding="utf-8"?>
<sst xmlns="http://schemas.openxmlformats.org/spreadsheetml/2006/main" count="110" uniqueCount="83">
  <si>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</si>
  <si>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</si>
  <si>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</si>
  <si>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</si>
  <si>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</si>
  <si>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</si>
  <si>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</si>
  <si>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</si>
  <si>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</si>
  <si>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</si>
  <si>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</si>
  <si>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</si>
  <si>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</si>
  <si>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</si>
  <si>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</si>
  <si>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</si>
  <si>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</si>
  <si>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</si>
  <si>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</si>
  <si>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</si>
  <si>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</si>
  <si>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</si>
  <si>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</si>
  <si>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</si>
  <si>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</si>
  <si>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</si>
  <si>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</si>
  <si>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</si>
  <si>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</si>
  <si>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</si>
  <si>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</si>
  <si>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</si>
  <si>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</si>
  <si>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</si>
  <si>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</si>
  <si>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</si>
  <si>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OEJV 0073</t>
  </si>
  <si>
    <t>I</t>
  </si>
  <si>
    <t>EA/SD</t>
  </si>
  <si>
    <t>Add cycle</t>
  </si>
  <si>
    <t>Old Cycle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</si>
  <si>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</si>
  <si>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</si>
  <si>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</si>
  <si>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</si>
  <si>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</si>
  <si>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</si>
  <si>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</si>
  <si>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</si>
  <si>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</si>
  <si>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</si>
  <si>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</si>
  <si>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2425438.451 </t>
  </si>
  <si>
    <t> 10.07.1928 22:49 </t>
  </si>
  <si>
    <t> 0.017 </t>
  </si>
  <si>
    <t>P </t>
  </si>
  <si>
    <t> C.Hoffmeister </t>
  </si>
  <si>
    <t> KVBB 19.75 </t>
  </si>
  <si>
    <t>2425852.371 </t>
  </si>
  <si>
    <t> 28.08.1929 20:54 </t>
  </si>
  <si>
    <t> -0.011 </t>
  </si>
  <si>
    <t>2426087.574 </t>
  </si>
  <si>
    <t> 21.04.1930 01:46 </t>
  </si>
  <si>
    <t> -0.006 </t>
  </si>
  <si>
    <t>2426868.460 </t>
  </si>
  <si>
    <t> 09.06.1932 23:02 </t>
  </si>
  <si>
    <t> 0.022 </t>
  </si>
  <si>
    <t>2444486.334 </t>
  </si>
  <si>
    <t> 03.09.1980 20:00 </t>
  </si>
  <si>
    <t> 0.000 </t>
  </si>
  <si>
    <t>V </t>
  </si>
  <si>
    <t> K.Locher </t>
  </si>
  <si>
    <t> BBS 50 </t>
  </si>
  <si>
    <t>2453931.230 </t>
  </si>
  <si>
    <t> 14.07.2006 17:31 </t>
  </si>
  <si>
    <t> -0.655 </t>
  </si>
  <si>
    <t>C </t>
  </si>
  <si>
    <t>o</t>
  </si>
  <si>
    <t> A.Paschke </t>
  </si>
  <si>
    <t>OEJV 0073 </t>
  </si>
  <si>
    <t>0487 Oph / GSC 0430-1536</t>
  </si>
  <si>
    <t>vis?</t>
  </si>
  <si>
    <t>PE?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</si>
</sst>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7" fillId="0" borderId="1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5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5" fillId="2" borderId="11" xfId="7" applyFill="1" applyBorder="1" applyAlignment="1" applyProtection="1">
      <alignment horizontal="right" vertical="top" wrapText="1"/>
    </xf>
    <xf numFmtId="0" fontId="16" fillId="0" borderId="0" xfId="0" applyFont="1" applyAlignme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V0487 Oph - O-C Diagr.</a:t>
            </a:r>
          </a:p>
        </c:rich>
      </c:tx>
      <c:layout>
        <c:manualLayout>
          <c:xMode val="edge"/>
          <c:yMode val="edge"/>
          <c:x val="0.3729323308270676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4">
                    <c:v>0</c:v>
                  </c:pt>
                  <c:pt idx="5">
                    <c:v>0.02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4">
                    <c:v>0</c:v>
                  </c:pt>
                  <c:pt idx="5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-6074</c:v>
                </c:pt>
                <c:pt idx="1">
                  <c:v>-5942</c:v>
                </c:pt>
                <c:pt idx="2">
                  <c:v>-5867</c:v>
                </c:pt>
                <c:pt idx="3">
                  <c:v>-5618</c:v>
                </c:pt>
                <c:pt idx="4">
                  <c:v>0</c:v>
                </c:pt>
                <c:pt idx="5">
                  <c:v>3012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B3-4BEC-AA01-A919FBBDE71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4">
                    <c:v>0</c:v>
                  </c:pt>
                  <c:pt idx="5">
                    <c:v>0.02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4">
                    <c:v>0</c:v>
                  </c:pt>
                  <c:pt idx="5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-6074</c:v>
                </c:pt>
                <c:pt idx="1">
                  <c:v>-5942</c:v>
                </c:pt>
                <c:pt idx="2">
                  <c:v>-5867</c:v>
                </c:pt>
                <c:pt idx="3">
                  <c:v>-5618</c:v>
                </c:pt>
                <c:pt idx="4">
                  <c:v>0</c:v>
                </c:pt>
                <c:pt idx="5">
                  <c:v>3012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5">
                  <c:v>-0.65467599999828963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B3-4BEC-AA01-A919FBBDE71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4">
                    <c:v>0</c:v>
                  </c:pt>
                  <c:pt idx="5">
                    <c:v>0.02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4">
                    <c:v>0</c:v>
                  </c:pt>
                  <c:pt idx="5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-6074</c:v>
                </c:pt>
                <c:pt idx="1">
                  <c:v>-5942</c:v>
                </c:pt>
                <c:pt idx="2">
                  <c:v>-5867</c:v>
                </c:pt>
                <c:pt idx="3">
                  <c:v>-5618</c:v>
                </c:pt>
                <c:pt idx="4">
                  <c:v>0</c:v>
                </c:pt>
                <c:pt idx="5">
                  <c:v>3012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AB3-4BEC-AA01-A919FBBDE71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4">
                    <c:v>0</c:v>
                  </c:pt>
                  <c:pt idx="5">
                    <c:v>0.02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4">
                    <c:v>0</c:v>
                  </c:pt>
                  <c:pt idx="5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-6074</c:v>
                </c:pt>
                <c:pt idx="1">
                  <c:v>-5942</c:v>
                </c:pt>
                <c:pt idx="2">
                  <c:v>-5867</c:v>
                </c:pt>
                <c:pt idx="3">
                  <c:v>-5618</c:v>
                </c:pt>
                <c:pt idx="4">
                  <c:v>0</c:v>
                </c:pt>
                <c:pt idx="5">
                  <c:v>3012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0">
                  <c:v>1.700199999686447E-2</c:v>
                </c:pt>
                <c:pt idx="1">
                  <c:v>-1.1434000003646361E-2</c:v>
                </c:pt>
                <c:pt idx="2">
                  <c:v>-6.4090000014402904E-3</c:v>
                </c:pt>
                <c:pt idx="3">
                  <c:v>2.2313999994366895E-2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AB3-4BEC-AA01-A919FBBDE71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4">
                    <c:v>0</c:v>
                  </c:pt>
                  <c:pt idx="5">
                    <c:v>0.02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4">
                    <c:v>0</c:v>
                  </c:pt>
                  <c:pt idx="5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-6074</c:v>
                </c:pt>
                <c:pt idx="1">
                  <c:v>-5942</c:v>
                </c:pt>
                <c:pt idx="2">
                  <c:v>-5867</c:v>
                </c:pt>
                <c:pt idx="3">
                  <c:v>-5618</c:v>
                </c:pt>
                <c:pt idx="4">
                  <c:v>0</c:v>
                </c:pt>
                <c:pt idx="5">
                  <c:v>3012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AB3-4BEC-AA01-A919FBBDE71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4">
                    <c:v>0</c:v>
                  </c:pt>
                  <c:pt idx="5">
                    <c:v>0.02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4">
                    <c:v>0</c:v>
                  </c:pt>
                  <c:pt idx="5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-6074</c:v>
                </c:pt>
                <c:pt idx="1">
                  <c:v>-5942</c:v>
                </c:pt>
                <c:pt idx="2">
                  <c:v>-5867</c:v>
                </c:pt>
                <c:pt idx="3">
                  <c:v>-5618</c:v>
                </c:pt>
                <c:pt idx="4">
                  <c:v>0</c:v>
                </c:pt>
                <c:pt idx="5">
                  <c:v>3012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AB3-4BEC-AA01-A919FBBDE71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4">
                    <c:v>0</c:v>
                  </c:pt>
                  <c:pt idx="5">
                    <c:v>0.02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4">
                    <c:v>0</c:v>
                  </c:pt>
                  <c:pt idx="5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-6074</c:v>
                </c:pt>
                <c:pt idx="1">
                  <c:v>-5942</c:v>
                </c:pt>
                <c:pt idx="2">
                  <c:v>-5867</c:v>
                </c:pt>
                <c:pt idx="3">
                  <c:v>-5618</c:v>
                </c:pt>
                <c:pt idx="4">
                  <c:v>0</c:v>
                </c:pt>
                <c:pt idx="5">
                  <c:v>3012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AB3-4BEC-AA01-A919FBBDE71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-6074</c:v>
                </c:pt>
                <c:pt idx="1">
                  <c:v>-5942</c:v>
                </c:pt>
                <c:pt idx="2">
                  <c:v>-5867</c:v>
                </c:pt>
                <c:pt idx="3">
                  <c:v>-5618</c:v>
                </c:pt>
                <c:pt idx="4">
                  <c:v>0</c:v>
                </c:pt>
                <c:pt idx="5">
                  <c:v>3012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4.0937097561718927E-2</c:v>
                </c:pt>
                <c:pt idx="1">
                  <c:v>3.3666337469554442E-2</c:v>
                </c:pt>
                <c:pt idx="2">
                  <c:v>2.9535223780824571E-2</c:v>
                </c:pt>
                <c:pt idx="3">
                  <c:v>1.5819926334241563E-2</c:v>
                </c:pt>
                <c:pt idx="4">
                  <c:v>-0.29362802970954732</c:v>
                </c:pt>
                <c:pt idx="5">
                  <c:v>-0.45953355544893715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AB3-4BEC-AA01-A919FBBDE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2826416"/>
        <c:axId val="1"/>
      </c:scatterChart>
      <c:valAx>
        <c:axId val="632826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28264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706766917293233"/>
          <c:y val="0.92375366568914952"/>
          <c:w val="0.6781954887218044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6B1F6D7-20AE-2C59-4F5D-577BA4E86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var.astro.cz/oejv/issues/oejv00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39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80</v>
      </c>
    </row>
    <row r="2" spans="1:7" x14ac:dyDescent="0.2">
      <c r="A2" t="s">
        <v>24</v>
      </c>
      <c r="B2" t="s">
        <v>38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44486.334000000003</v>
      </c>
      <c r="D4" s="9">
        <v>3.1359729999999999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44486.334000000003</v>
      </c>
    </row>
    <row r="8" spans="1:7" x14ac:dyDescent="0.2">
      <c r="A8" t="s">
        <v>3</v>
      </c>
      <c r="C8">
        <f>+D4</f>
        <v>3.1359729999999999</v>
      </c>
    </row>
    <row r="9" spans="1:7" x14ac:dyDescent="0.2">
      <c r="A9" s="11" t="s">
        <v>29</v>
      </c>
      <c r="B9" s="12"/>
      <c r="C9" s="13">
        <v>-9.5</v>
      </c>
      <c r="D9" s="12" t="s">
        <v>30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16</v>
      </c>
      <c r="B11" s="12"/>
      <c r="C11" s="24">
        <f ca="1">INTERCEPT(INDIRECT($G$11):G991,INDIRECT($F$11):F991)</f>
        <v>-0.29362802970954732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17</v>
      </c>
      <c r="B12" s="12"/>
      <c r="C12" s="24">
        <f ca="1">SLOPE(INDIRECT($G$11):G991,INDIRECT($F$11):F991)</f>
        <v>-5.5081515849731024E-5</v>
      </c>
      <c r="D12" s="3"/>
      <c r="E12" s="12"/>
    </row>
    <row r="13" spans="1:7" x14ac:dyDescent="0.2">
      <c r="A13" s="12" t="s">
        <v>19</v>
      </c>
      <c r="B13" s="12"/>
      <c r="C13" s="3" t="s">
        <v>14</v>
      </c>
      <c r="D13" s="16" t="s">
        <v>39</v>
      </c>
      <c r="E13" s="13">
        <v>1</v>
      </c>
    </row>
    <row r="14" spans="1:7" x14ac:dyDescent="0.2">
      <c r="A14" s="12"/>
      <c r="B14" s="12"/>
      <c r="C14" s="12"/>
      <c r="D14" s="16" t="s">
        <v>31</v>
      </c>
      <c r="E14" s="17">
        <f ca="1">NOW()+15018.5+$C$9/24</f>
        <v>60368.686022337963</v>
      </c>
    </row>
    <row r="15" spans="1:7" x14ac:dyDescent="0.2">
      <c r="A15" s="14" t="s">
        <v>18</v>
      </c>
      <c r="B15" s="12"/>
      <c r="C15" s="15">
        <f ca="1">(C7+C11)+(C8+C12)*INT(MAX(F21:F3532))</f>
        <v>53931.425142444554</v>
      </c>
      <c r="D15" s="16" t="s">
        <v>40</v>
      </c>
      <c r="E15" s="17">
        <f ca="1">ROUND(2*(E14-$C$7)/$C$8,0)/2+E13</f>
        <v>5065.5</v>
      </c>
    </row>
    <row r="16" spans="1:7" x14ac:dyDescent="0.2">
      <c r="A16" s="18" t="s">
        <v>4</v>
      </c>
      <c r="B16" s="12"/>
      <c r="C16" s="19">
        <f ca="1">+C8+C12</f>
        <v>3.1359179184841501</v>
      </c>
      <c r="D16" s="16" t="s">
        <v>32</v>
      </c>
      <c r="E16" s="26">
        <f ca="1">ROUND(2*(E14-$C$15)/$C$16,0)/2+E13</f>
        <v>2054</v>
      </c>
    </row>
    <row r="17" spans="1:17" ht="13.5" thickBot="1" x14ac:dyDescent="0.25">
      <c r="A17" s="16" t="s">
        <v>28</v>
      </c>
      <c r="B17" s="12"/>
      <c r="C17" s="12">
        <f>COUNT(C21:C2190)</f>
        <v>6</v>
      </c>
      <c r="D17" s="16" t="s">
        <v>33</v>
      </c>
      <c r="E17" s="20">
        <f ca="1">+$C$15+$C$16*E16-15018.5-$C$9/24</f>
        <v>45354.496380344332</v>
      </c>
    </row>
    <row r="18" spans="1:17" ht="14.25" thickTop="1" thickBot="1" x14ac:dyDescent="0.25">
      <c r="A18" s="18" t="s">
        <v>5</v>
      </c>
      <c r="B18" s="12"/>
      <c r="C18" s="21">
        <f ca="1">+C15</f>
        <v>53931.425142444554</v>
      </c>
      <c r="D18" s="22">
        <f ca="1">+C16</f>
        <v>3.1359179184841501</v>
      </c>
      <c r="E18" s="23" t="s">
        <v>34</v>
      </c>
    </row>
    <row r="19" spans="1:17" ht="13.5" thickTop="1" x14ac:dyDescent="0.2">
      <c r="A19" s="27" t="s">
        <v>35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82</v>
      </c>
      <c r="J20" s="7" t="s">
        <v>43</v>
      </c>
      <c r="K20" s="7" t="s">
        <v>81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</row>
    <row r="21" spans="1:17" x14ac:dyDescent="0.2">
      <c r="A21" s="44" t="s">
        <v>57</v>
      </c>
      <c r="B21" s="46" t="s">
        <v>37</v>
      </c>
      <c r="C21" s="45">
        <v>25438.451000000001</v>
      </c>
      <c r="D21" s="10"/>
      <c r="E21">
        <f t="shared" ref="E21:E26" si="0">+(C21-C$7)/C$8</f>
        <v>-6073.9945783971998</v>
      </c>
      <c r="F21">
        <f t="shared" ref="F21:F26" si="1">ROUND(2*E21,0)/2</f>
        <v>-6074</v>
      </c>
      <c r="G21">
        <f t="shared" ref="G21:G26" si="2">+C21-(C$7+F21*C$8)</f>
        <v>1.700199999686447E-2</v>
      </c>
      <c r="K21">
        <f>+G21</f>
        <v>1.700199999686447E-2</v>
      </c>
      <c r="O21">
        <f t="shared" ref="O21:O26" ca="1" si="3">+C$11+C$12*$F21</f>
        <v>4.0937097561718927E-2</v>
      </c>
      <c r="Q21" s="2">
        <f t="shared" ref="Q21:Q26" si="4">+C21-15018.5</f>
        <v>10419.951000000001</v>
      </c>
    </row>
    <row r="22" spans="1:17" x14ac:dyDescent="0.2">
      <c r="A22" s="44" t="s">
        <v>57</v>
      </c>
      <c r="B22" s="46" t="s">
        <v>37</v>
      </c>
      <c r="C22" s="45">
        <v>25852.370999999999</v>
      </c>
      <c r="D22" s="10"/>
      <c r="E22">
        <f t="shared" si="0"/>
        <v>-5942.0036460773108</v>
      </c>
      <c r="F22">
        <f t="shared" si="1"/>
        <v>-5942</v>
      </c>
      <c r="G22">
        <f t="shared" si="2"/>
        <v>-1.1434000003646361E-2</v>
      </c>
      <c r="K22">
        <f>+G22</f>
        <v>-1.1434000003646361E-2</v>
      </c>
      <c r="O22">
        <f t="shared" ca="1" si="3"/>
        <v>3.3666337469554442E-2</v>
      </c>
      <c r="Q22" s="2">
        <f t="shared" si="4"/>
        <v>10833.870999999999</v>
      </c>
    </row>
    <row r="23" spans="1:17" x14ac:dyDescent="0.2">
      <c r="A23" s="44" t="s">
        <v>57</v>
      </c>
      <c r="B23" s="46" t="s">
        <v>37</v>
      </c>
      <c r="C23" s="45">
        <v>26087.574000000001</v>
      </c>
      <c r="D23" s="10"/>
      <c r="E23">
        <f t="shared" si="0"/>
        <v>-5867.0020437038211</v>
      </c>
      <c r="F23">
        <f t="shared" si="1"/>
        <v>-5867</v>
      </c>
      <c r="G23">
        <f t="shared" si="2"/>
        <v>-6.4090000014402904E-3</v>
      </c>
      <c r="K23">
        <f>+G23</f>
        <v>-6.4090000014402904E-3</v>
      </c>
      <c r="O23">
        <f t="shared" ca="1" si="3"/>
        <v>2.9535223780824571E-2</v>
      </c>
      <c r="Q23" s="2">
        <f t="shared" si="4"/>
        <v>11069.074000000001</v>
      </c>
    </row>
    <row r="24" spans="1:17" x14ac:dyDescent="0.2">
      <c r="A24" s="44" t="s">
        <v>57</v>
      </c>
      <c r="B24" s="46" t="s">
        <v>37</v>
      </c>
      <c r="C24" s="45">
        <v>26868.46</v>
      </c>
      <c r="D24" s="10"/>
      <c r="E24">
        <f t="shared" si="0"/>
        <v>-5617.9928845050654</v>
      </c>
      <c r="F24">
        <f t="shared" si="1"/>
        <v>-5618</v>
      </c>
      <c r="G24">
        <f t="shared" si="2"/>
        <v>2.2313999994366895E-2</v>
      </c>
      <c r="K24">
        <f>+G24</f>
        <v>2.2313999994366895E-2</v>
      </c>
      <c r="O24">
        <f t="shared" ca="1" si="3"/>
        <v>1.5819926334241563E-2</v>
      </c>
      <c r="Q24" s="2">
        <f t="shared" si="4"/>
        <v>11849.96</v>
      </c>
    </row>
    <row r="25" spans="1:17" x14ac:dyDescent="0.2">
      <c r="A25" t="s">
        <v>12</v>
      </c>
      <c r="C25" s="10">
        <v>44486.334000000003</v>
      </c>
      <c r="D25" s="10" t="s">
        <v>14</v>
      </c>
      <c r="E25">
        <f t="shared" si="0"/>
        <v>0</v>
      </c>
      <c r="F25">
        <f t="shared" si="1"/>
        <v>0</v>
      </c>
      <c r="G25">
        <f t="shared" si="2"/>
        <v>0</v>
      </c>
      <c r="H25">
        <f>+G25</f>
        <v>0</v>
      </c>
      <c r="O25">
        <f t="shared" ca="1" si="3"/>
        <v>-0.29362802970954732</v>
      </c>
      <c r="Q25" s="2">
        <f t="shared" si="4"/>
        <v>29467.834000000003</v>
      </c>
    </row>
    <row r="26" spans="1:17" x14ac:dyDescent="0.2">
      <c r="A26" s="29" t="s">
        <v>36</v>
      </c>
      <c r="B26" s="30" t="s">
        <v>37</v>
      </c>
      <c r="C26" s="29">
        <v>53931.23</v>
      </c>
      <c r="D26" s="29">
        <v>0.02</v>
      </c>
      <c r="E26">
        <f t="shared" si="0"/>
        <v>3011.7912367230206</v>
      </c>
      <c r="F26">
        <f t="shared" si="1"/>
        <v>3012</v>
      </c>
      <c r="G26">
        <f t="shared" si="2"/>
        <v>-0.65467599999828963</v>
      </c>
      <c r="I26">
        <f>+G26</f>
        <v>-0.65467599999828963</v>
      </c>
      <c r="O26">
        <f t="shared" ca="1" si="3"/>
        <v>-0.45953355544893715</v>
      </c>
      <c r="Q26" s="2">
        <f t="shared" si="4"/>
        <v>38912.730000000003</v>
      </c>
    </row>
    <row r="27" spans="1:17" x14ac:dyDescent="0.2">
      <c r="B27" s="3"/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1"/>
  <sheetViews>
    <sheetView workbookViewId="0">
      <selection activeCell="A13" sqref="A13:C16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1" t="s">
        <v>41</v>
      </c>
      <c r="I1" s="32" t="s">
        <v>42</v>
      </c>
      <c r="J1" s="33" t="s">
        <v>43</v>
      </c>
    </row>
    <row r="2" spans="1:16" x14ac:dyDescent="0.2">
      <c r="I2" s="34" t="s">
        <v>44</v>
      </c>
      <c r="J2" s="35" t="s">
        <v>45</v>
      </c>
    </row>
    <row r="3" spans="1:16" x14ac:dyDescent="0.2">
      <c r="A3" s="36" t="s">
        <v>46</v>
      </c>
      <c r="I3" s="34" t="s">
        <v>47</v>
      </c>
      <c r="J3" s="35" t="s">
        <v>48</v>
      </c>
    </row>
    <row r="4" spans="1:16" x14ac:dyDescent="0.2">
      <c r="I4" s="34" t="s">
        <v>49</v>
      </c>
      <c r="J4" s="35" t="s">
        <v>48</v>
      </c>
    </row>
    <row r="5" spans="1:16" ht="13.5" thickBot="1" x14ac:dyDescent="0.25">
      <c r="I5" s="37" t="s">
        <v>50</v>
      </c>
      <c r="J5" s="38" t="s">
        <v>51</v>
      </c>
    </row>
    <row r="10" spans="1:16" ht="13.5" thickBot="1" x14ac:dyDescent="0.25"/>
    <row r="11" spans="1:16" ht="12.75" customHeight="1" thickBot="1" x14ac:dyDescent="0.25">
      <c r="A11" s="10" t="str">
        <f t="shared" ref="A11:A16" si="0">P11</f>
        <v> BBS 50 </v>
      </c>
      <c r="B11" s="3" t="str">
        <f t="shared" ref="B11:B16" si="1">IF(H11=INT(H11),"I","II")</f>
        <v>I</v>
      </c>
      <c r="C11" s="10">
        <f t="shared" ref="C11:C16" si="2">1*G11</f>
        <v>44486.334000000003</v>
      </c>
      <c r="D11" s="12" t="str">
        <f t="shared" ref="D11:D16" si="3">VLOOKUP(F11,I$1:J$5,2,FALSE)</f>
        <v>vis</v>
      </c>
      <c r="E11" s="39">
        <f>VLOOKUP(C11,Active!C$21:E$973,3,FALSE)</f>
        <v>0</v>
      </c>
      <c r="F11" s="3" t="s">
        <v>50</v>
      </c>
      <c r="G11" s="12" t="str">
        <f t="shared" ref="G11:G16" si="4">MID(I11,3,LEN(I11)-3)</f>
        <v>44486.334</v>
      </c>
      <c r="H11" s="10">
        <f t="shared" ref="H11:H16" si="5">1*K11</f>
        <v>0</v>
      </c>
      <c r="I11" s="40" t="s">
        <v>67</v>
      </c>
      <c r="J11" s="41" t="s">
        <v>68</v>
      </c>
      <c r="K11" s="40">
        <v>0</v>
      </c>
      <c r="L11" s="40" t="s">
        <v>69</v>
      </c>
      <c r="M11" s="41" t="s">
        <v>70</v>
      </c>
      <c r="N11" s="41"/>
      <c r="O11" s="42" t="s">
        <v>71</v>
      </c>
      <c r="P11" s="42" t="s">
        <v>72</v>
      </c>
    </row>
    <row r="12" spans="1:16" ht="12.75" customHeight="1" thickBot="1" x14ac:dyDescent="0.25">
      <c r="A12" s="10" t="str">
        <f t="shared" si="0"/>
        <v>OEJV 0073 </v>
      </c>
      <c r="B12" s="3" t="str">
        <f t="shared" si="1"/>
        <v>I</v>
      </c>
      <c r="C12" s="10">
        <f t="shared" si="2"/>
        <v>53931.23</v>
      </c>
      <c r="D12" s="12" t="str">
        <f t="shared" si="3"/>
        <v>vis</v>
      </c>
      <c r="E12" s="39">
        <f>VLOOKUP(C12,Active!C$21:E$973,3,FALSE)</f>
        <v>3011.7912367230206</v>
      </c>
      <c r="F12" s="3" t="s">
        <v>50</v>
      </c>
      <c r="G12" s="12" t="str">
        <f t="shared" si="4"/>
        <v>53931.230</v>
      </c>
      <c r="H12" s="10">
        <f t="shared" si="5"/>
        <v>3012</v>
      </c>
      <c r="I12" s="40" t="s">
        <v>73</v>
      </c>
      <c r="J12" s="41" t="s">
        <v>74</v>
      </c>
      <c r="K12" s="40">
        <v>3012</v>
      </c>
      <c r="L12" s="40" t="s">
        <v>75</v>
      </c>
      <c r="M12" s="41" t="s">
        <v>76</v>
      </c>
      <c r="N12" s="41" t="s">
        <v>77</v>
      </c>
      <c r="O12" s="42" t="s">
        <v>78</v>
      </c>
      <c r="P12" s="43" t="s">
        <v>79</v>
      </c>
    </row>
    <row r="13" spans="1:16" ht="12.75" customHeight="1" thickBot="1" x14ac:dyDescent="0.25">
      <c r="A13" s="10" t="str">
        <f t="shared" si="0"/>
        <v> KVBB 19.75 </v>
      </c>
      <c r="B13" s="3" t="str">
        <f t="shared" si="1"/>
        <v>I</v>
      </c>
      <c r="C13" s="10">
        <f t="shared" si="2"/>
        <v>25438.451000000001</v>
      </c>
      <c r="D13" s="12" t="str">
        <f t="shared" si="3"/>
        <v>vis</v>
      </c>
      <c r="E13" s="39">
        <f>VLOOKUP(C13,Active!C$21:E$973,3,FALSE)</f>
        <v>-6073.9945783971998</v>
      </c>
      <c r="F13" s="3" t="s">
        <v>50</v>
      </c>
      <c r="G13" s="12" t="str">
        <f t="shared" si="4"/>
        <v>25438.451</v>
      </c>
      <c r="H13" s="10">
        <f t="shared" si="5"/>
        <v>-6074</v>
      </c>
      <c r="I13" s="40" t="s">
        <v>52</v>
      </c>
      <c r="J13" s="41" t="s">
        <v>53</v>
      </c>
      <c r="K13" s="40">
        <v>-6074</v>
      </c>
      <c r="L13" s="40" t="s">
        <v>54</v>
      </c>
      <c r="M13" s="41" t="s">
        <v>55</v>
      </c>
      <c r="N13" s="41"/>
      <c r="O13" s="42" t="s">
        <v>56</v>
      </c>
      <c r="P13" s="42" t="s">
        <v>57</v>
      </c>
    </row>
    <row r="14" spans="1:16" ht="12.75" customHeight="1" thickBot="1" x14ac:dyDescent="0.25">
      <c r="A14" s="10" t="str">
        <f t="shared" si="0"/>
        <v> KVBB 19.75 </v>
      </c>
      <c r="B14" s="3" t="str">
        <f t="shared" si="1"/>
        <v>I</v>
      </c>
      <c r="C14" s="10">
        <f t="shared" si="2"/>
        <v>25852.370999999999</v>
      </c>
      <c r="D14" s="12" t="str">
        <f t="shared" si="3"/>
        <v>vis</v>
      </c>
      <c r="E14" s="39">
        <f>VLOOKUP(C14,Active!C$21:E$973,3,FALSE)</f>
        <v>-5942.0036460773108</v>
      </c>
      <c r="F14" s="3" t="s">
        <v>50</v>
      </c>
      <c r="G14" s="12" t="str">
        <f t="shared" si="4"/>
        <v>25852.371</v>
      </c>
      <c r="H14" s="10">
        <f t="shared" si="5"/>
        <v>-5942</v>
      </c>
      <c r="I14" s="40" t="s">
        <v>58</v>
      </c>
      <c r="J14" s="41" t="s">
        <v>59</v>
      </c>
      <c r="K14" s="40">
        <v>-5942</v>
      </c>
      <c r="L14" s="40" t="s">
        <v>60</v>
      </c>
      <c r="M14" s="41" t="s">
        <v>55</v>
      </c>
      <c r="N14" s="41"/>
      <c r="O14" s="42" t="s">
        <v>56</v>
      </c>
      <c r="P14" s="42" t="s">
        <v>57</v>
      </c>
    </row>
    <row r="15" spans="1:16" ht="12.75" customHeight="1" thickBot="1" x14ac:dyDescent="0.25">
      <c r="A15" s="10" t="str">
        <f t="shared" si="0"/>
        <v> KVBB 19.75 </v>
      </c>
      <c r="B15" s="3" t="str">
        <f t="shared" si="1"/>
        <v>I</v>
      </c>
      <c r="C15" s="10">
        <f t="shared" si="2"/>
        <v>26087.574000000001</v>
      </c>
      <c r="D15" s="12" t="str">
        <f t="shared" si="3"/>
        <v>vis</v>
      </c>
      <c r="E15" s="39">
        <f>VLOOKUP(C15,Active!C$21:E$973,3,FALSE)</f>
        <v>-5867.0020437038211</v>
      </c>
      <c r="F15" s="3" t="s">
        <v>50</v>
      </c>
      <c r="G15" s="12" t="str">
        <f t="shared" si="4"/>
        <v>26087.574</v>
      </c>
      <c r="H15" s="10">
        <f t="shared" si="5"/>
        <v>-5867</v>
      </c>
      <c r="I15" s="40" t="s">
        <v>61</v>
      </c>
      <c r="J15" s="41" t="s">
        <v>62</v>
      </c>
      <c r="K15" s="40">
        <v>-5867</v>
      </c>
      <c r="L15" s="40" t="s">
        <v>63</v>
      </c>
      <c r="M15" s="41" t="s">
        <v>55</v>
      </c>
      <c r="N15" s="41"/>
      <c r="O15" s="42" t="s">
        <v>56</v>
      </c>
      <c r="P15" s="42" t="s">
        <v>57</v>
      </c>
    </row>
    <row r="16" spans="1:16" ht="12.75" customHeight="1" thickBot="1" x14ac:dyDescent="0.25">
      <c r="A16" s="10" t="str">
        <f t="shared" si="0"/>
        <v> KVBB 19.75 </v>
      </c>
      <c r="B16" s="3" t="str">
        <f t="shared" si="1"/>
        <v>I</v>
      </c>
      <c r="C16" s="10">
        <f t="shared" si="2"/>
        <v>26868.46</v>
      </c>
      <c r="D16" s="12" t="str">
        <f t="shared" si="3"/>
        <v>vis</v>
      </c>
      <c r="E16" s="39">
        <f>VLOOKUP(C16,Active!C$21:E$973,3,FALSE)</f>
        <v>-5617.9928845050654</v>
      </c>
      <c r="F16" s="3" t="s">
        <v>50</v>
      </c>
      <c r="G16" s="12" t="str">
        <f t="shared" si="4"/>
        <v>26868.460</v>
      </c>
      <c r="H16" s="10">
        <f t="shared" si="5"/>
        <v>-5618</v>
      </c>
      <c r="I16" s="40" t="s">
        <v>64</v>
      </c>
      <c r="J16" s="41" t="s">
        <v>65</v>
      </c>
      <c r="K16" s="40">
        <v>-5618</v>
      </c>
      <c r="L16" s="40" t="s">
        <v>66</v>
      </c>
      <c r="M16" s="41" t="s">
        <v>55</v>
      </c>
      <c r="N16" s="41"/>
      <c r="O16" s="42" t="s">
        <v>56</v>
      </c>
      <c r="P16" s="42" t="s">
        <v>57</v>
      </c>
    </row>
    <row r="17" spans="2:6" x14ac:dyDescent="0.2">
      <c r="B17" s="3"/>
      <c r="F17" s="3"/>
    </row>
    <row r="18" spans="2:6" x14ac:dyDescent="0.2">
      <c r="B18" s="3"/>
      <c r="F18" s="3"/>
    </row>
    <row r="19" spans="2:6" x14ac:dyDescent="0.2">
      <c r="B19" s="3"/>
      <c r="F19" s="3"/>
    </row>
    <row r="20" spans="2:6" x14ac:dyDescent="0.2">
      <c r="B20" s="3"/>
      <c r="F20" s="3"/>
    </row>
    <row r="21" spans="2:6" x14ac:dyDescent="0.2">
      <c r="B21" s="3"/>
      <c r="F21" s="3"/>
    </row>
    <row r="22" spans="2:6" x14ac:dyDescent="0.2">
      <c r="B22" s="3"/>
      <c r="F22" s="3"/>
    </row>
    <row r="23" spans="2:6" x14ac:dyDescent="0.2">
      <c r="B23" s="3"/>
      <c r="F23" s="3"/>
    </row>
    <row r="24" spans="2:6" x14ac:dyDescent="0.2">
      <c r="B24" s="3"/>
      <c r="F24" s="3"/>
    </row>
    <row r="25" spans="2:6" x14ac:dyDescent="0.2">
      <c r="B25" s="3"/>
      <c r="F25" s="3"/>
    </row>
    <row r="26" spans="2:6" x14ac:dyDescent="0.2">
      <c r="B26" s="3"/>
      <c r="F26" s="3"/>
    </row>
    <row r="27" spans="2:6" x14ac:dyDescent="0.2">
      <c r="B27" s="3"/>
      <c r="F27" s="3"/>
    </row>
    <row r="28" spans="2:6" x14ac:dyDescent="0.2">
      <c r="B28" s="3"/>
      <c r="F28" s="3"/>
    </row>
    <row r="29" spans="2:6" x14ac:dyDescent="0.2">
      <c r="B29" s="3"/>
      <c r="F29" s="3"/>
    </row>
    <row r="30" spans="2:6" x14ac:dyDescent="0.2">
      <c r="B30" s="3"/>
      <c r="F30" s="3"/>
    </row>
    <row r="31" spans="2:6" x14ac:dyDescent="0.2">
      <c r="B31" s="3"/>
      <c r="F31" s="3"/>
    </row>
    <row r="32" spans="2: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</sheetData>
  <phoneticPr fontId="7" type="noConversion"/>
  <hyperlinks>
    <hyperlink ref="P12" r:id="rId1" display="http://var.astro.cz/oejv/issues/oejv0073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2024-02-28T03:27:52Z</dcterms:modified>
</cp:coreProperties>
</file>