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4E121A1-54AE-48F1-B819-BF38EBF6D4A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6" i="1"/>
  <c r="F26" i="1"/>
  <c r="G26" i="1"/>
  <c r="H26" i="1"/>
  <c r="E9" i="1"/>
  <c r="D9" i="1"/>
  <c r="E25" i="1"/>
  <c r="F25" i="1"/>
  <c r="G25" i="1"/>
  <c r="H25" i="1"/>
  <c r="Q21" i="1"/>
  <c r="Q22" i="1"/>
  <c r="Q23" i="1"/>
  <c r="Q24" i="1"/>
  <c r="Q26" i="1"/>
  <c r="G16" i="2"/>
  <c r="C16" i="2"/>
  <c r="E16" i="2"/>
  <c r="G11" i="2"/>
  <c r="C11" i="2"/>
  <c r="E11" i="2"/>
  <c r="G15" i="2"/>
  <c r="C15" i="2"/>
  <c r="E15" i="2"/>
  <c r="G14" i="2"/>
  <c r="C14" i="2"/>
  <c r="E14" i="2"/>
  <c r="G13" i="2"/>
  <c r="C13" i="2"/>
  <c r="E13" i="2"/>
  <c r="G12" i="2"/>
  <c r="C12" i="2"/>
  <c r="E12" i="2"/>
  <c r="H16" i="2"/>
  <c r="D16" i="2"/>
  <c r="B16" i="2"/>
  <c r="A16" i="2"/>
  <c r="H11" i="2"/>
  <c r="D11" i="2"/>
  <c r="B11" i="2"/>
  <c r="A11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F16" i="1"/>
  <c r="F17" i="1" s="1"/>
  <c r="C17" i="1"/>
  <c r="Q25" i="1"/>
  <c r="C11" i="1"/>
  <c r="C12" i="1"/>
  <c r="C16" i="1" l="1"/>
  <c r="D18" i="1" s="1"/>
  <c r="O23" i="1"/>
  <c r="O25" i="1"/>
  <c r="O22" i="1"/>
  <c r="O24" i="1"/>
  <c r="C15" i="1"/>
  <c r="O21" i="1"/>
  <c r="O26" i="1"/>
  <c r="C18" i="1" l="1"/>
  <c r="F18" i="1"/>
  <c r="F19" i="1" s="1"/>
</calcChain>
</file>

<file path=xl/sharedStrings.xml><?xml version="1.0" encoding="utf-8"?>
<sst xmlns="http://schemas.openxmlformats.org/spreadsheetml/2006/main" count="114" uniqueCount="80">
  <si>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</si>
  <si>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</si>
  <si>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</si>
  <si>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</si>
  <si>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</si>
  <si>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</si>
  <si>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</si>
  <si>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</si>
  <si>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</si>
  <si>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</si>
  <si>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</si>
  <si>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</si>
  <si>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</si>
  <si>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</si>
  <si>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</si>
  <si>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</si>
  <si>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</si>
  <si>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</si>
  <si>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</si>
  <si>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</si>
  <si>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</si>
  <si>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</si>
  <si>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</si>
  <si>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</si>
  <si>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</si>
  <si>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</si>
  <si>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</si>
  <si>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</si>
  <si>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</si>
  <si>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</si>
  <si>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</si>
  <si>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</si>
  <si>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</si>
  <si>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</si>
  <si>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</si>
  <si>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</si>
  <si>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</si>
  <si>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</si>
  <si>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</si>
  <si>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</si>
  <si>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</si>
  <si>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</si>
  <si>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</si>
  <si>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</si>
  <si>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</si>
  <si>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</si>
  <si>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</si>
  <si>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</si>
  <si>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V0806 Oph</t>
  </si>
  <si>
    <t>EA</t>
  </si>
  <si>
    <t>GCVS 4</t>
  </si>
  <si>
    <t>V0806 Oph / GSC 34216.67</t>
  </si>
  <si>
    <t>2423586.5 </t>
  </si>
  <si>
    <t> 16.06.1923 00:00 </t>
  </si>
  <si>
    <t> 0.3 </t>
  </si>
  <si>
    <t>P </t>
  </si>
  <si>
    <t> A.Soloviev </t>
  </si>
  <si>
    <t> AC 37.6 </t>
  </si>
  <si>
    <t>2426482.5 </t>
  </si>
  <si>
    <t> 21.05.1931 00:00 </t>
  </si>
  <si>
    <t> -0.1 </t>
  </si>
  <si>
    <t>2426867.4 </t>
  </si>
  <si>
    <t> 08.06.1932 21:36 </t>
  </si>
  <si>
    <t> -0.4 </t>
  </si>
  <si>
    <t>2431289.54 </t>
  </si>
  <si>
    <t> 18.07.1944 00:57 </t>
  </si>
  <si>
    <t> 0.11 </t>
  </si>
  <si>
    <t>V </t>
  </si>
  <si>
    <t> W.Zessewitsch </t>
  </si>
  <si>
    <t> IODE 4.2.243 </t>
  </si>
  <si>
    <t>2434216.67 </t>
  </si>
  <si>
    <t> 23.07.1952 04:04 </t>
  </si>
  <si>
    <t> 0.00 </t>
  </si>
  <si>
    <t> R.Szafraniec </t>
  </si>
  <si>
    <t> AAC 5.53 </t>
  </si>
  <si>
    <t>2436727.99 </t>
  </si>
  <si>
    <t> 08.06.1959 11:45 </t>
  </si>
  <si>
    <t> 0.06 </t>
  </si>
  <si>
    <t> AA 10.70 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</si>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</sst>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1" xfId="0" applyFont="1" applyBorder="1" applyAlignment="1">
      <alignment vertical="center"/>
    </xf>
    <xf numFmtId="0" fontId="16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left" vertical="center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V0806 Oph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45864661654135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-690</c:v>
                </c:pt>
                <c:pt idx="1">
                  <c:v>-502</c:v>
                </c:pt>
                <c:pt idx="2">
                  <c:v>-477</c:v>
                </c:pt>
                <c:pt idx="3">
                  <c:v>-190</c:v>
                </c:pt>
                <c:pt idx="4">
                  <c:v>0</c:v>
                </c:pt>
                <c:pt idx="5">
                  <c:v>163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0.31500000000232831</c:v>
                </c:pt>
                <c:pt idx="1">
                  <c:v>-0.10699999999633292</c:v>
                </c:pt>
                <c:pt idx="2">
                  <c:v>-0.36949999999706051</c:v>
                </c:pt>
                <c:pt idx="3">
                  <c:v>0.10500000000320142</c:v>
                </c:pt>
                <c:pt idx="4">
                  <c:v>0</c:v>
                </c:pt>
                <c:pt idx="5">
                  <c:v>6.0499999999592546E-2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CF-4AA8-8853-F773C1D5DAD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-690</c:v>
                </c:pt>
                <c:pt idx="1">
                  <c:v>-502</c:v>
                </c:pt>
                <c:pt idx="2">
                  <c:v>-477</c:v>
                </c:pt>
                <c:pt idx="3">
                  <c:v>-190</c:v>
                </c:pt>
                <c:pt idx="4">
                  <c:v>0</c:v>
                </c:pt>
                <c:pt idx="5">
                  <c:v>163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CF-4AA8-8853-F773C1D5DAD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-690</c:v>
                </c:pt>
                <c:pt idx="1">
                  <c:v>-502</c:v>
                </c:pt>
                <c:pt idx="2">
                  <c:v>-477</c:v>
                </c:pt>
                <c:pt idx="3">
                  <c:v>-190</c:v>
                </c:pt>
                <c:pt idx="4">
                  <c:v>0</c:v>
                </c:pt>
                <c:pt idx="5">
                  <c:v>163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CF-4AA8-8853-F773C1D5DAD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-690</c:v>
                </c:pt>
                <c:pt idx="1">
                  <c:v>-502</c:v>
                </c:pt>
                <c:pt idx="2">
                  <c:v>-477</c:v>
                </c:pt>
                <c:pt idx="3">
                  <c:v>-190</c:v>
                </c:pt>
                <c:pt idx="4">
                  <c:v>0</c:v>
                </c:pt>
                <c:pt idx="5">
                  <c:v>163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CF-4AA8-8853-F773C1D5DAD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-690</c:v>
                </c:pt>
                <c:pt idx="1">
                  <c:v>-502</c:v>
                </c:pt>
                <c:pt idx="2">
                  <c:v>-477</c:v>
                </c:pt>
                <c:pt idx="3">
                  <c:v>-190</c:v>
                </c:pt>
                <c:pt idx="4">
                  <c:v>0</c:v>
                </c:pt>
                <c:pt idx="5">
                  <c:v>163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CF-4AA8-8853-F773C1D5DAD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-690</c:v>
                </c:pt>
                <c:pt idx="1">
                  <c:v>-502</c:v>
                </c:pt>
                <c:pt idx="2">
                  <c:v>-477</c:v>
                </c:pt>
                <c:pt idx="3">
                  <c:v>-190</c:v>
                </c:pt>
                <c:pt idx="4">
                  <c:v>0</c:v>
                </c:pt>
                <c:pt idx="5">
                  <c:v>163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CF-4AA8-8853-F773C1D5DAD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-690</c:v>
                </c:pt>
                <c:pt idx="1">
                  <c:v>-502</c:v>
                </c:pt>
                <c:pt idx="2">
                  <c:v>-477</c:v>
                </c:pt>
                <c:pt idx="3">
                  <c:v>-190</c:v>
                </c:pt>
                <c:pt idx="4">
                  <c:v>0</c:v>
                </c:pt>
                <c:pt idx="5">
                  <c:v>163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CF-4AA8-8853-F773C1D5DAD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-690</c:v>
                </c:pt>
                <c:pt idx="1">
                  <c:v>-502</c:v>
                </c:pt>
                <c:pt idx="2">
                  <c:v>-477</c:v>
                </c:pt>
                <c:pt idx="3">
                  <c:v>-190</c:v>
                </c:pt>
                <c:pt idx="4">
                  <c:v>0</c:v>
                </c:pt>
                <c:pt idx="5">
                  <c:v>163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-2.0980232511826147E-3</c:v>
                </c:pt>
                <c:pt idx="1">
                  <c:v>-8.2201251896534336E-4</c:v>
                </c:pt>
                <c:pt idx="2">
                  <c:v>-6.523302407449613E-4</c:v>
                </c:pt>
                <c:pt idx="3">
                  <c:v>1.2956223132250227E-3</c:v>
                </c:pt>
                <c:pt idx="4">
                  <c:v>2.585207627699925E-3</c:v>
                </c:pt>
                <c:pt idx="5">
                  <c:v>3.6915360816968147E-3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3CF-4AA8-8853-F773C1D5DAD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-690</c:v>
                </c:pt>
                <c:pt idx="1">
                  <c:v>-502</c:v>
                </c:pt>
                <c:pt idx="2">
                  <c:v>-477</c:v>
                </c:pt>
                <c:pt idx="3">
                  <c:v>-190</c:v>
                </c:pt>
                <c:pt idx="4">
                  <c:v>0</c:v>
                </c:pt>
                <c:pt idx="5">
                  <c:v>163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3CF-4AA8-8853-F773C1D5D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122392"/>
        <c:axId val="1"/>
      </c:scatterChart>
      <c:valAx>
        <c:axId val="705122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122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219075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2D270C7-B0BD-9863-8017-E406B134A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: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51</v>
      </c>
      <c r="F1" s="50" t="s">
        <v>48</v>
      </c>
      <c r="G1" s="32">
        <v>17.40532</v>
      </c>
      <c r="H1" s="33">
        <v>-16.573799999999999</v>
      </c>
      <c r="I1" s="34">
        <v>34216.67</v>
      </c>
      <c r="J1" s="34">
        <v>15.406499999999999</v>
      </c>
      <c r="K1" s="31" t="s">
        <v>49</v>
      </c>
      <c r="L1" s="33"/>
      <c r="M1" s="34">
        <v>34216.67</v>
      </c>
      <c r="N1" s="34">
        <v>15.406499999999999</v>
      </c>
      <c r="O1" s="37" t="s">
        <v>49</v>
      </c>
    </row>
    <row r="2" spans="1:15" ht="12.95" customHeight="1" x14ac:dyDescent="0.2">
      <c r="A2" t="s">
        <v>23</v>
      </c>
      <c r="B2" t="s">
        <v>49</v>
      </c>
      <c r="C2" s="30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7">
        <v>34216.67</v>
      </c>
      <c r="D4" s="28">
        <v>15.406499999999999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</row>
    <row r="7" spans="1:15" ht="12.95" customHeight="1" x14ac:dyDescent="0.2">
      <c r="A7" t="s">
        <v>2</v>
      </c>
      <c r="C7" s="54">
        <v>34216.67</v>
      </c>
      <c r="D7" s="29" t="s">
        <v>50</v>
      </c>
    </row>
    <row r="8" spans="1:15" ht="12.95" customHeight="1" x14ac:dyDescent="0.2">
      <c r="A8" t="s">
        <v>3</v>
      </c>
      <c r="C8" s="54">
        <v>15.406499999999999</v>
      </c>
      <c r="D8" s="29" t="s">
        <v>50</v>
      </c>
    </row>
    <row r="9" spans="1:15" ht="12.95" customHeight="1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21">
        <f ca="1">INTERCEPT(INDIRECT($E$9):G992,INDIRECT($D$9):F992)</f>
        <v>2.585207627699925E-3</v>
      </c>
      <c r="D11" s="3"/>
      <c r="E11" s="10"/>
    </row>
    <row r="12" spans="1:15" ht="12.95" customHeight="1" x14ac:dyDescent="0.2">
      <c r="A12" s="10" t="s">
        <v>16</v>
      </c>
      <c r="B12" s="10"/>
      <c r="C12" s="21">
        <f ca="1">SLOPE(INDIRECT($E$9):G992,INDIRECT($D$9):F992)</f>
        <v>6.7872911288152754E-6</v>
      </c>
      <c r="D12" s="3"/>
      <c r="E12" s="10"/>
    </row>
    <row r="13" spans="1:15" ht="12.95" customHeight="1" x14ac:dyDescent="0.2">
      <c r="A13" s="10" t="s">
        <v>18</v>
      </c>
      <c r="B13" s="10"/>
      <c r="C13" s="3" t="s">
        <v>13</v>
      </c>
    </row>
    <row r="14" spans="1:15" ht="12.95" customHeight="1" x14ac:dyDescent="0.2">
      <c r="A14" s="10"/>
      <c r="B14" s="10"/>
      <c r="C14" s="10"/>
    </row>
    <row r="15" spans="1:15" ht="12.95" customHeight="1" x14ac:dyDescent="0.2">
      <c r="A15" s="12" t="s">
        <v>17</v>
      </c>
      <c r="B15" s="10"/>
      <c r="C15" s="13">
        <f ca="1">(C7+C11)+(C8+C12)*INT(MAX(F21:F3533))</f>
        <v>36727.933191536082</v>
      </c>
      <c r="E15" s="14" t="s">
        <v>34</v>
      </c>
      <c r="F15" s="35">
        <v>1</v>
      </c>
    </row>
    <row r="16" spans="1:15" ht="12.95" customHeight="1" x14ac:dyDescent="0.2">
      <c r="A16" s="16" t="s">
        <v>4</v>
      </c>
      <c r="B16" s="10"/>
      <c r="C16" s="17">
        <f ca="1">+C8+C12</f>
        <v>15.406506787291129</v>
      </c>
      <c r="E16" s="14" t="s">
        <v>30</v>
      </c>
      <c r="F16" s="36">
        <f ca="1">NOW()+15018.5+$C$5/24</f>
        <v>60368.705980902778</v>
      </c>
    </row>
    <row r="17" spans="1:21" ht="12.95" customHeight="1" thickBot="1" x14ac:dyDescent="0.25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1698.5</v>
      </c>
    </row>
    <row r="18" spans="1:21" ht="12.95" customHeight="1" thickTop="1" thickBot="1" x14ac:dyDescent="0.25">
      <c r="A18" s="16" t="s">
        <v>5</v>
      </c>
      <c r="B18" s="10"/>
      <c r="C18" s="19">
        <f ca="1">+C15</f>
        <v>36727.933191536082</v>
      </c>
      <c r="D18" s="20">
        <f ca="1">+C16</f>
        <v>15.406506787291129</v>
      </c>
      <c r="E18" s="14" t="s">
        <v>36</v>
      </c>
      <c r="F18" s="23">
        <f ca="1">ROUND(2*(F16-$C$15)/$C$16,0)/2+F15</f>
        <v>1535.5</v>
      </c>
    </row>
    <row r="19" spans="1:21" ht="12.95" customHeight="1" thickTop="1" x14ac:dyDescent="0.2">
      <c r="E19" s="14" t="s">
        <v>31</v>
      </c>
      <c r="F19" s="18">
        <f ca="1">+$C$15+$C$16*F18-15018.5-$C$5/24</f>
        <v>45366.520196754944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ht="12.95" customHeight="1" x14ac:dyDescent="0.2">
      <c r="A21" s="51" t="s">
        <v>57</v>
      </c>
      <c r="B21" s="53" t="s">
        <v>79</v>
      </c>
      <c r="C21" s="52">
        <v>23586.5</v>
      </c>
      <c r="D21" s="8"/>
      <c r="E21">
        <f t="shared" ref="E21:E26" si="0">+(C21-C$7)/C$8</f>
        <v>-689.97955408431494</v>
      </c>
      <c r="F21">
        <f t="shared" ref="F21:F26" si="1">ROUND(2*E21,0)/2</f>
        <v>-690</v>
      </c>
      <c r="G21">
        <f t="shared" ref="G21:G26" si="2">+C21-(C$7+F21*C$8)</f>
        <v>0.31500000000232831</v>
      </c>
      <c r="H21">
        <f t="shared" ref="H21:H26" si="3">+G21</f>
        <v>0.31500000000232831</v>
      </c>
      <c r="O21">
        <f t="shared" ref="O21:O26" ca="1" si="4">+C$11+C$12*$F21</f>
        <v>-2.0980232511826147E-3</v>
      </c>
      <c r="Q21" s="2">
        <f t="shared" ref="Q21:Q26" si="5">+C21-15018.5</f>
        <v>8568</v>
      </c>
    </row>
    <row r="22" spans="1:21" ht="12.95" customHeight="1" x14ac:dyDescent="0.2">
      <c r="A22" s="51" t="s">
        <v>57</v>
      </c>
      <c r="B22" s="53" t="s">
        <v>79</v>
      </c>
      <c r="C22" s="52">
        <v>26482.5</v>
      </c>
      <c r="D22" s="8"/>
      <c r="E22">
        <f t="shared" si="0"/>
        <v>-502.00694512056589</v>
      </c>
      <c r="F22">
        <f t="shared" si="1"/>
        <v>-502</v>
      </c>
      <c r="G22">
        <f t="shared" si="2"/>
        <v>-0.10699999999633292</v>
      </c>
      <c r="H22">
        <f t="shared" si="3"/>
        <v>-0.10699999999633292</v>
      </c>
      <c r="O22">
        <f t="shared" ca="1" si="4"/>
        <v>-8.2201251896534336E-4</v>
      </c>
      <c r="Q22" s="2">
        <f t="shared" si="5"/>
        <v>11464</v>
      </c>
    </row>
    <row r="23" spans="1:21" ht="12.95" customHeight="1" x14ac:dyDescent="0.2">
      <c r="A23" s="51" t="s">
        <v>57</v>
      </c>
      <c r="B23" s="53" t="s">
        <v>79</v>
      </c>
      <c r="C23" s="52">
        <v>26867.4</v>
      </c>
      <c r="D23" s="8"/>
      <c r="E23">
        <f t="shared" si="0"/>
        <v>-477.02398338363656</v>
      </c>
      <c r="F23">
        <f t="shared" si="1"/>
        <v>-477</v>
      </c>
      <c r="G23">
        <f t="shared" si="2"/>
        <v>-0.36949999999706051</v>
      </c>
      <c r="H23">
        <f t="shared" si="3"/>
        <v>-0.36949999999706051</v>
      </c>
      <c r="O23">
        <f t="shared" ca="1" si="4"/>
        <v>-6.523302407449613E-4</v>
      </c>
      <c r="Q23" s="2">
        <f t="shared" si="5"/>
        <v>11848.900000000001</v>
      </c>
    </row>
    <row r="24" spans="1:21" x14ac:dyDescent="0.2">
      <c r="A24" s="51" t="s">
        <v>69</v>
      </c>
      <c r="B24" s="53" t="s">
        <v>79</v>
      </c>
      <c r="C24" s="52">
        <v>31289.54</v>
      </c>
      <c r="D24" s="8"/>
      <c r="E24">
        <f t="shared" si="0"/>
        <v>-189.99318469477151</v>
      </c>
      <c r="F24">
        <f t="shared" si="1"/>
        <v>-190</v>
      </c>
      <c r="G24">
        <f t="shared" si="2"/>
        <v>0.10500000000320142</v>
      </c>
      <c r="H24">
        <f t="shared" si="3"/>
        <v>0.10500000000320142</v>
      </c>
      <c r="O24">
        <f t="shared" ca="1" si="4"/>
        <v>1.2956223132250227E-3</v>
      </c>
      <c r="Q24" s="2">
        <f t="shared" si="5"/>
        <v>16271.04</v>
      </c>
    </row>
    <row r="25" spans="1:21" x14ac:dyDescent="0.2">
      <c r="A25" t="s">
        <v>50</v>
      </c>
      <c r="C25" s="8">
        <v>34216.67</v>
      </c>
      <c r="D25" s="8" t="s">
        <v>13</v>
      </c>
      <c r="E25">
        <f t="shared" si="0"/>
        <v>0</v>
      </c>
      <c r="F25">
        <f t="shared" si="1"/>
        <v>0</v>
      </c>
      <c r="G25">
        <f t="shared" si="2"/>
        <v>0</v>
      </c>
      <c r="H25">
        <f t="shared" si="3"/>
        <v>0</v>
      </c>
      <c r="O25">
        <f t="shared" ca="1" si="4"/>
        <v>2.585207627699925E-3</v>
      </c>
      <c r="Q25" s="2">
        <f t="shared" si="5"/>
        <v>19198.169999999998</v>
      </c>
    </row>
    <row r="26" spans="1:21" x14ac:dyDescent="0.2">
      <c r="A26" s="51" t="s">
        <v>78</v>
      </c>
      <c r="B26" s="53" t="s">
        <v>79</v>
      </c>
      <c r="C26" s="52">
        <v>36727.99</v>
      </c>
      <c r="D26" s="8"/>
      <c r="E26">
        <f t="shared" si="0"/>
        <v>163.00392691396488</v>
      </c>
      <c r="F26">
        <f t="shared" si="1"/>
        <v>163</v>
      </c>
      <c r="G26">
        <f t="shared" si="2"/>
        <v>6.0499999999592546E-2</v>
      </c>
      <c r="H26">
        <f t="shared" si="3"/>
        <v>6.0499999999592546E-2</v>
      </c>
      <c r="O26">
        <f t="shared" ca="1" si="4"/>
        <v>3.6915360816968147E-3</v>
      </c>
      <c r="Q26" s="2">
        <f t="shared" si="5"/>
        <v>21709.489999999998</v>
      </c>
    </row>
    <row r="27" spans="1:21" x14ac:dyDescent="0.2">
      <c r="B27" s="3"/>
      <c r="C27" s="8"/>
      <c r="D27" s="8"/>
      <c r="Q27" s="2"/>
    </row>
    <row r="28" spans="1:21" x14ac:dyDescent="0.2">
      <c r="B28" s="3"/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4"/>
  <sheetViews>
    <sheetView workbookViewId="0">
      <selection activeCell="A12" sqref="A12:C1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16" si="0">P11</f>
        <v> AAC 5.53 </v>
      </c>
      <c r="B11" s="3" t="str">
        <f t="shared" ref="B11:B16" si="1">IF(H11=INT(H11),"I","II")</f>
        <v>I</v>
      </c>
      <c r="C11" s="8">
        <f t="shared" ref="C11:C16" si="2">1*G11</f>
        <v>34216.67</v>
      </c>
      <c r="D11" s="10" t="str">
        <f t="shared" ref="D11:D16" si="3">VLOOKUP(F11,I$1:J$5,2,FALSE)</f>
        <v>vis</v>
      </c>
      <c r="E11" s="46">
        <f>VLOOKUP(C11,Active!C$21:E$973,3,FALSE)</f>
        <v>0</v>
      </c>
      <c r="F11" s="3" t="s">
        <v>47</v>
      </c>
      <c r="G11" s="10" t="str">
        <f t="shared" ref="G11:G16" si="4">MID(I11,3,LEN(I11)-3)</f>
        <v>34216.67</v>
      </c>
      <c r="H11" s="8">
        <f t="shared" ref="H11:H16" si="5">1*K11</f>
        <v>0</v>
      </c>
      <c r="I11" s="47" t="s">
        <v>70</v>
      </c>
      <c r="J11" s="48" t="s">
        <v>71</v>
      </c>
      <c r="K11" s="47">
        <v>0</v>
      </c>
      <c r="L11" s="47" t="s">
        <v>72</v>
      </c>
      <c r="M11" s="48" t="s">
        <v>67</v>
      </c>
      <c r="N11" s="48"/>
      <c r="O11" s="49" t="s">
        <v>73</v>
      </c>
      <c r="P11" s="49" t="s">
        <v>74</v>
      </c>
    </row>
    <row r="12" spans="1:16" ht="12.75" customHeight="1" thickBot="1" x14ac:dyDescent="0.25">
      <c r="A12" s="8" t="str">
        <f t="shared" si="0"/>
        <v> AC 37.6 </v>
      </c>
      <c r="B12" s="3" t="str">
        <f t="shared" si="1"/>
        <v>I</v>
      </c>
      <c r="C12" s="8">
        <f t="shared" si="2"/>
        <v>23586.5</v>
      </c>
      <c r="D12" s="10" t="str">
        <f t="shared" si="3"/>
        <v>vis</v>
      </c>
      <c r="E12" s="46">
        <f>VLOOKUP(C12,Active!C$21:E$973,3,FALSE)</f>
        <v>-689.97955408431494</v>
      </c>
      <c r="F12" s="3" t="s">
        <v>47</v>
      </c>
      <c r="G12" s="10" t="str">
        <f t="shared" si="4"/>
        <v>23586.5</v>
      </c>
      <c r="H12" s="8">
        <f t="shared" si="5"/>
        <v>-690</v>
      </c>
      <c r="I12" s="47" t="s">
        <v>52</v>
      </c>
      <c r="J12" s="48" t="s">
        <v>53</v>
      </c>
      <c r="K12" s="47">
        <v>-690</v>
      </c>
      <c r="L12" s="47" t="s">
        <v>54</v>
      </c>
      <c r="M12" s="48" t="s">
        <v>55</v>
      </c>
      <c r="N12" s="48"/>
      <c r="O12" s="49" t="s">
        <v>56</v>
      </c>
      <c r="P12" s="49" t="s">
        <v>57</v>
      </c>
    </row>
    <row r="13" spans="1:16" ht="12.75" customHeight="1" thickBot="1" x14ac:dyDescent="0.25">
      <c r="A13" s="8" t="str">
        <f t="shared" si="0"/>
        <v> AC 37.6 </v>
      </c>
      <c r="B13" s="3" t="str">
        <f t="shared" si="1"/>
        <v>I</v>
      </c>
      <c r="C13" s="8">
        <f t="shared" si="2"/>
        <v>26482.5</v>
      </c>
      <c r="D13" s="10" t="str">
        <f t="shared" si="3"/>
        <v>vis</v>
      </c>
      <c r="E13" s="46">
        <f>VLOOKUP(C13,Active!C$21:E$973,3,FALSE)</f>
        <v>-502.00694512056589</v>
      </c>
      <c r="F13" s="3" t="s">
        <v>47</v>
      </c>
      <c r="G13" s="10" t="str">
        <f t="shared" si="4"/>
        <v>26482.5</v>
      </c>
      <c r="H13" s="8">
        <f t="shared" si="5"/>
        <v>-502</v>
      </c>
      <c r="I13" s="47" t="s">
        <v>58</v>
      </c>
      <c r="J13" s="48" t="s">
        <v>59</v>
      </c>
      <c r="K13" s="47">
        <v>-502</v>
      </c>
      <c r="L13" s="47" t="s">
        <v>60</v>
      </c>
      <c r="M13" s="48" t="s">
        <v>55</v>
      </c>
      <c r="N13" s="48"/>
      <c r="O13" s="49" t="s">
        <v>56</v>
      </c>
      <c r="P13" s="49" t="s">
        <v>57</v>
      </c>
    </row>
    <row r="14" spans="1:16" ht="12.75" customHeight="1" thickBot="1" x14ac:dyDescent="0.25">
      <c r="A14" s="8" t="str">
        <f t="shared" si="0"/>
        <v> AC 37.6 </v>
      </c>
      <c r="B14" s="3" t="str">
        <f t="shared" si="1"/>
        <v>I</v>
      </c>
      <c r="C14" s="8">
        <f t="shared" si="2"/>
        <v>26867.4</v>
      </c>
      <c r="D14" s="10" t="str">
        <f t="shared" si="3"/>
        <v>vis</v>
      </c>
      <c r="E14" s="46">
        <f>VLOOKUP(C14,Active!C$21:E$973,3,FALSE)</f>
        <v>-477.02398338363656</v>
      </c>
      <c r="F14" s="3" t="s">
        <v>47</v>
      </c>
      <c r="G14" s="10" t="str">
        <f t="shared" si="4"/>
        <v>26867.4</v>
      </c>
      <c r="H14" s="8">
        <f t="shared" si="5"/>
        <v>-477</v>
      </c>
      <c r="I14" s="47" t="s">
        <v>61</v>
      </c>
      <c r="J14" s="48" t="s">
        <v>62</v>
      </c>
      <c r="K14" s="47">
        <v>-477</v>
      </c>
      <c r="L14" s="47" t="s">
        <v>63</v>
      </c>
      <c r="M14" s="48" t="s">
        <v>55</v>
      </c>
      <c r="N14" s="48"/>
      <c r="O14" s="49" t="s">
        <v>56</v>
      </c>
      <c r="P14" s="49" t="s">
        <v>57</v>
      </c>
    </row>
    <row r="15" spans="1:16" ht="12.75" customHeight="1" thickBot="1" x14ac:dyDescent="0.25">
      <c r="A15" s="8" t="str">
        <f t="shared" si="0"/>
        <v> IODE 4.2.243 </v>
      </c>
      <c r="B15" s="3" t="str">
        <f t="shared" si="1"/>
        <v>I</v>
      </c>
      <c r="C15" s="8">
        <f t="shared" si="2"/>
        <v>31289.54</v>
      </c>
      <c r="D15" s="10" t="str">
        <f t="shared" si="3"/>
        <v>vis</v>
      </c>
      <c r="E15" s="46">
        <f>VLOOKUP(C15,Active!C$21:E$973,3,FALSE)</f>
        <v>-189.99318469477151</v>
      </c>
      <c r="F15" s="3" t="s">
        <v>47</v>
      </c>
      <c r="G15" s="10" t="str">
        <f t="shared" si="4"/>
        <v>31289.54</v>
      </c>
      <c r="H15" s="8">
        <f t="shared" si="5"/>
        <v>-190</v>
      </c>
      <c r="I15" s="47" t="s">
        <v>64</v>
      </c>
      <c r="J15" s="48" t="s">
        <v>65</v>
      </c>
      <c r="K15" s="47">
        <v>-190</v>
      </c>
      <c r="L15" s="47" t="s">
        <v>66</v>
      </c>
      <c r="M15" s="48" t="s">
        <v>67</v>
      </c>
      <c r="N15" s="48"/>
      <c r="O15" s="49" t="s">
        <v>68</v>
      </c>
      <c r="P15" s="49" t="s">
        <v>69</v>
      </c>
    </row>
    <row r="16" spans="1:16" ht="12.75" customHeight="1" thickBot="1" x14ac:dyDescent="0.25">
      <c r="A16" s="8" t="str">
        <f t="shared" si="0"/>
        <v> AA 10.70 </v>
      </c>
      <c r="B16" s="3" t="str">
        <f t="shared" si="1"/>
        <v>I</v>
      </c>
      <c r="C16" s="8">
        <f t="shared" si="2"/>
        <v>36727.99</v>
      </c>
      <c r="D16" s="10" t="str">
        <f t="shared" si="3"/>
        <v>vis</v>
      </c>
      <c r="E16" s="46">
        <f>VLOOKUP(C16,Active!C$21:E$973,3,FALSE)</f>
        <v>163.00392691396488</v>
      </c>
      <c r="F16" s="3" t="s">
        <v>47</v>
      </c>
      <c r="G16" s="10" t="str">
        <f t="shared" si="4"/>
        <v>36727.99</v>
      </c>
      <c r="H16" s="8">
        <f t="shared" si="5"/>
        <v>163</v>
      </c>
      <c r="I16" s="47" t="s">
        <v>75</v>
      </c>
      <c r="J16" s="48" t="s">
        <v>76</v>
      </c>
      <c r="K16" s="47">
        <v>163</v>
      </c>
      <c r="L16" s="47" t="s">
        <v>77</v>
      </c>
      <c r="M16" s="48" t="s">
        <v>67</v>
      </c>
      <c r="N16" s="48"/>
      <c r="O16" s="49" t="s">
        <v>73</v>
      </c>
      <c r="P16" s="49" t="s">
        <v>78</v>
      </c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2024-02-28T03:56:36Z</dcterms:modified>
</cp:coreProperties>
</file>