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B579A1A-069D-479A-9D72-2B263DA7EAF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30" i="1"/>
  <c r="F30" i="1"/>
  <c r="G30" i="1"/>
  <c r="H30" i="1"/>
  <c r="E31" i="1"/>
  <c r="F31" i="1"/>
  <c r="G31" i="1"/>
  <c r="H31" i="1"/>
  <c r="E9" i="1"/>
  <c r="D9" i="1"/>
  <c r="E29" i="1"/>
  <c r="F29" i="1"/>
  <c r="G29" i="1"/>
  <c r="H29" i="1"/>
  <c r="Q21" i="1"/>
  <c r="Q22" i="1"/>
  <c r="Q23" i="1"/>
  <c r="Q24" i="1"/>
  <c r="Q25" i="1"/>
  <c r="Q26" i="1"/>
  <c r="Q27" i="1"/>
  <c r="Q28" i="1"/>
  <c r="Q30" i="1"/>
  <c r="Q31" i="1"/>
  <c r="G21" i="2"/>
  <c r="C21" i="2"/>
  <c r="E21" i="2"/>
  <c r="G20" i="2"/>
  <c r="C20" i="2"/>
  <c r="E20" i="2"/>
  <c r="G11" i="2"/>
  <c r="C11" i="2"/>
  <c r="E11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21" i="2"/>
  <c r="D21" i="2"/>
  <c r="B21" i="2"/>
  <c r="A21" i="2"/>
  <c r="H20" i="2"/>
  <c r="D20" i="2"/>
  <c r="B20" i="2"/>
  <c r="A20" i="2"/>
  <c r="H11" i="2"/>
  <c r="D11" i="2"/>
  <c r="B11" i="2"/>
  <c r="A11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F16" i="1"/>
  <c r="F17" i="1" s="1"/>
  <c r="C17" i="1"/>
  <c r="Q29" i="1"/>
  <c r="C11" i="1"/>
  <c r="C12" i="1"/>
  <c r="C16" i="1" l="1"/>
  <c r="D18" i="1" s="1"/>
  <c r="O25" i="1"/>
  <c r="O21" i="1"/>
  <c r="O28" i="1"/>
  <c r="O31" i="1"/>
  <c r="C15" i="1"/>
  <c r="O22" i="1"/>
  <c r="O30" i="1"/>
  <c r="O23" i="1"/>
  <c r="O27" i="1"/>
  <c r="O24" i="1"/>
  <c r="O26" i="1"/>
  <c r="O29" i="1"/>
  <c r="C18" i="1" l="1"/>
  <c r="F18" i="1"/>
  <c r="F19" i="1" s="1"/>
</calcChain>
</file>

<file path=xl/sharedStrings.xml><?xml version="1.0" encoding="utf-8"?>
<sst xmlns="http://schemas.openxmlformats.org/spreadsheetml/2006/main" count="159" uniqueCount="97">
  <si>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</si>
  <si>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</si>
  <si>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</si>
  <si>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</si>
  <si>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</si>
  <si>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</si>
  <si>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</si>
  <si>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</si>
  <si>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</si>
  <si>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</si>
  <si>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</si>
  <si>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</si>
  <si>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</si>
  <si>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</si>
  <si>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</si>
  <si>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</si>
  <si>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</si>
  <si>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</si>
  <si>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</si>
  <si>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</si>
  <si>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</si>
  <si>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</si>
  <si>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</si>
  <si>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</si>
  <si>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</si>
  <si>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</si>
  <si>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</si>
  <si>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</si>
  <si>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</si>
  <si>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</si>
  <si>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</si>
  <si>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</si>
  <si>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</si>
  <si>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</si>
  <si>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</si>
  <si>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</si>
  <si>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</si>
  <si>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</si>
  <si>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</si>
  <si>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</si>
  <si>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</si>
  <si>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</si>
  <si>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</si>
  <si>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</si>
  <si>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</si>
  <si>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</si>
  <si>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</si>
  <si>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</si>
  <si>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V0868 Oph</t>
  </si>
  <si>
    <t>EB</t>
  </si>
  <si>
    <t>GCVS 4</t>
  </si>
  <si>
    <t>V0868 Oph / GSC 43283.436</t>
  </si>
  <si>
    <t>2429110.408 </t>
  </si>
  <si>
    <t> 30.07.1938 21:47 </t>
  </si>
  <si>
    <t> 0.010 </t>
  </si>
  <si>
    <t>P </t>
  </si>
  <si>
    <t> W.Götz </t>
  </si>
  <si>
    <t> VSS 4.206 </t>
  </si>
  <si>
    <t>2429785.433 </t>
  </si>
  <si>
    <t> 04.06.1940 22:23 </t>
  </si>
  <si>
    <t> 0.002 </t>
  </si>
  <si>
    <t>2429786.517 </t>
  </si>
  <si>
    <t> 06.06.1940 00:24 </t>
  </si>
  <si>
    <t> -0.022 </t>
  </si>
  <si>
    <t>2429787.413 </t>
  </si>
  <si>
    <t> 06.06.1940 21:54 </t>
  </si>
  <si>
    <t> -0.013 </t>
  </si>
  <si>
    <t>2429808.444 </t>
  </si>
  <si>
    <t> 27.06.1940 22:39 </t>
  </si>
  <si>
    <t> -0.035 </t>
  </si>
  <si>
    <t>2429816.483 </t>
  </si>
  <si>
    <t> 05.07.1940 23:35 </t>
  </si>
  <si>
    <t> 0.026 </t>
  </si>
  <si>
    <t>2429843.470 </t>
  </si>
  <si>
    <t> 01.08.1940 23:16 </t>
  </si>
  <si>
    <t> -0.024 </t>
  </si>
  <si>
    <t>2429845.469 </t>
  </si>
  <si>
    <t> 03.08.1940 23:15 </t>
  </si>
  <si>
    <t> -0.020 </t>
  </si>
  <si>
    <t>2443283.436 </t>
  </si>
  <si>
    <t> 19.05.1977 22:27 </t>
  </si>
  <si>
    <t> 0.000 </t>
  </si>
  <si>
    <t>V </t>
  </si>
  <si>
    <t> K.Locher </t>
  </si>
  <si>
    <t> BBS 33 </t>
  </si>
  <si>
    <t>2447717.457 </t>
  </si>
  <si>
    <t> 09.07.1989 22:58 </t>
  </si>
  <si>
    <t> -0.012 </t>
  </si>
  <si>
    <t> A.Dedoch </t>
  </si>
  <si>
    <t> BRNO 30 </t>
  </si>
  <si>
    <t>2449576.375 </t>
  </si>
  <si>
    <t> 11.08.1994 21:00 </t>
  </si>
  <si>
    <t> 0.016 </t>
  </si>
  <si>
    <t> P.Stepan </t>
  </si>
  <si>
    <t> BRNO 31 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</si>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</sst>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V868 Oph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9.8019999968528282E-3</c:v>
                </c:pt>
                <c:pt idx="1">
                  <c:v>1.6040000009525102E-3</c:v>
                </c:pt>
                <c:pt idx="2">
                  <c:v>-2.2461000000475906E-2</c:v>
                </c:pt>
                <c:pt idx="3">
                  <c:v>-1.2912999998661689E-2</c:v>
                </c:pt>
                <c:pt idx="4">
                  <c:v>-3.5147999999026069E-2</c:v>
                </c:pt>
                <c:pt idx="5">
                  <c:v>2.5783999997656792E-2</c:v>
                </c:pt>
                <c:pt idx="6">
                  <c:v>-2.4001999998290557E-2</c:v>
                </c:pt>
                <c:pt idx="7">
                  <c:v>-1.9518999997671926E-2</c:v>
                </c:pt>
                <c:pt idx="8">
                  <c:v>0</c:v>
                </c:pt>
                <c:pt idx="9">
                  <c:v>-1.190399999904912E-2</c:v>
                </c:pt>
                <c:pt idx="10">
                  <c:v>1.6252000001259148E-2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F-4CF9-BF91-408DCA2529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F-4CF9-BF91-408DCA2529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F-4CF9-BF91-408DCA2529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F-4CF9-BF91-408DCA2529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F-4CF9-BF91-408DCA2529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F-4CF9-BF91-408DCA2529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F-4CF9-BF91-408DCA2529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-1.0050801206717738E-2</c:v>
                </c:pt>
                <c:pt idx="1">
                  <c:v>-9.6090283695505659E-3</c:v>
                </c:pt>
                <c:pt idx="2">
                  <c:v>-9.6083032007436599E-3</c:v>
                </c:pt>
                <c:pt idx="3">
                  <c:v>-9.6077230656981365E-3</c:v>
                </c:pt>
                <c:pt idx="4">
                  <c:v>-9.5939448583669193E-3</c:v>
                </c:pt>
                <c:pt idx="5">
                  <c:v>-9.5887236429571983E-3</c:v>
                </c:pt>
                <c:pt idx="6">
                  <c:v>-9.5710295240686895E-3</c:v>
                </c:pt>
                <c:pt idx="7">
                  <c:v>-9.5697242202162566E-3</c:v>
                </c:pt>
                <c:pt idx="8">
                  <c:v>-7.7531203134367527E-4</c:v>
                </c:pt>
                <c:pt idx="9">
                  <c:v>2.1265234663716244E-3</c:v>
                </c:pt>
                <c:pt idx="10">
                  <c:v>3.3430666568372352E-3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F-4CF9-BF91-408DCA25291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-31977</c:v>
                </c:pt>
                <c:pt idx="1">
                  <c:v>-30454</c:v>
                </c:pt>
                <c:pt idx="2">
                  <c:v>-30451.5</c:v>
                </c:pt>
                <c:pt idx="3">
                  <c:v>-30449.5</c:v>
                </c:pt>
                <c:pt idx="4">
                  <c:v>-30402</c:v>
                </c:pt>
                <c:pt idx="5">
                  <c:v>-30384</c:v>
                </c:pt>
                <c:pt idx="6">
                  <c:v>-30323</c:v>
                </c:pt>
                <c:pt idx="7">
                  <c:v>-30318.5</c:v>
                </c:pt>
                <c:pt idx="8">
                  <c:v>0</c:v>
                </c:pt>
                <c:pt idx="9">
                  <c:v>10004</c:v>
                </c:pt>
                <c:pt idx="10">
                  <c:v>14198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F-4CF9-BF91-408DCA252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799776"/>
        <c:axId val="1"/>
      </c:scatterChart>
      <c:valAx>
        <c:axId val="62979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79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64450D-FEF9-FB9D-0BDB-B285AAF8E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51</v>
      </c>
      <c r="F1" s="22" t="s">
        <v>48</v>
      </c>
      <c r="G1" s="6">
        <v>17.423110000000001</v>
      </c>
      <c r="H1" s="7">
        <v>3.0341</v>
      </c>
      <c r="I1" s="8">
        <v>43283.436000000002</v>
      </c>
      <c r="J1" s="8">
        <v>0.44322600000000001</v>
      </c>
      <c r="K1" s="5" t="s">
        <v>49</v>
      </c>
      <c r="L1" s="7"/>
      <c r="M1" s="8">
        <v>43283.436000000002</v>
      </c>
      <c r="N1" s="8">
        <v>0.44322600000000001</v>
      </c>
      <c r="O1" s="9" t="s">
        <v>49</v>
      </c>
    </row>
    <row r="2" spans="1:15" s="23" customFormat="1" ht="12.95" customHeight="1" x14ac:dyDescent="0.2">
      <c r="A2" s="23" t="s">
        <v>23</v>
      </c>
      <c r="B2" s="23" t="s">
        <v>49</v>
      </c>
      <c r="C2" s="24"/>
      <c r="D2" s="25"/>
    </row>
    <row r="3" spans="1:15" s="23" customFormat="1" ht="12.95" customHeight="1" thickBot="1" x14ac:dyDescent="0.25"/>
    <row r="4" spans="1:15" s="23" customFormat="1" ht="12.95" customHeight="1" thickTop="1" thickBot="1" x14ac:dyDescent="0.25">
      <c r="A4" s="26" t="s">
        <v>0</v>
      </c>
      <c r="C4" s="27">
        <v>43283.436000000002</v>
      </c>
      <c r="D4" s="28">
        <v>0.44322600000000001</v>
      </c>
    </row>
    <row r="5" spans="1:15" s="23" customFormat="1" ht="12.95" customHeight="1" thickTop="1" x14ac:dyDescent="0.2">
      <c r="A5" s="29" t="s">
        <v>28</v>
      </c>
      <c r="C5" s="30">
        <v>-9.5</v>
      </c>
      <c r="D5" s="23" t="s">
        <v>29</v>
      </c>
    </row>
    <row r="6" spans="1:15" s="23" customFormat="1" ht="12.95" customHeight="1" x14ac:dyDescent="0.2">
      <c r="A6" s="26" t="s">
        <v>1</v>
      </c>
    </row>
    <row r="7" spans="1:15" s="23" customFormat="1" ht="12.95" customHeight="1" x14ac:dyDescent="0.2">
      <c r="A7" s="23" t="s">
        <v>2</v>
      </c>
      <c r="C7" s="54">
        <v>43283.436000000002</v>
      </c>
      <c r="D7" s="32" t="s">
        <v>50</v>
      </c>
    </row>
    <row r="8" spans="1:15" s="23" customFormat="1" ht="12.95" customHeight="1" x14ac:dyDescent="0.2">
      <c r="A8" s="23" t="s">
        <v>3</v>
      </c>
      <c r="C8" s="54">
        <v>0.44322600000000001</v>
      </c>
      <c r="D8" s="32" t="s">
        <v>50</v>
      </c>
    </row>
    <row r="9" spans="1:15" s="23" customFormat="1" ht="12.95" customHeight="1" x14ac:dyDescent="0.2">
      <c r="A9" s="33" t="s">
        <v>32</v>
      </c>
      <c r="C9" s="34">
        <v>21</v>
      </c>
      <c r="D9" s="35" t="str">
        <f>"F"&amp;C9</f>
        <v>F21</v>
      </c>
      <c r="E9" s="36" t="str">
        <f>"G"&amp;C9</f>
        <v>G21</v>
      </c>
    </row>
    <row r="10" spans="1:15" s="23" customFormat="1" ht="12.95" customHeight="1" thickBot="1" x14ac:dyDescent="0.25">
      <c r="C10" s="37" t="s">
        <v>19</v>
      </c>
      <c r="D10" s="37" t="s">
        <v>20</v>
      </c>
    </row>
    <row r="11" spans="1:15" s="23" customFormat="1" ht="12.95" customHeight="1" x14ac:dyDescent="0.2">
      <c r="A11" s="23" t="s">
        <v>15</v>
      </c>
      <c r="C11" s="36">
        <f ca="1">INTERCEPT(INDIRECT($E$9):G992,INDIRECT($D$9):F992)</f>
        <v>-7.7531203134367527E-4</v>
      </c>
      <c r="D11" s="25"/>
    </row>
    <row r="12" spans="1:15" s="23" customFormat="1" ht="12.95" customHeight="1" x14ac:dyDescent="0.2">
      <c r="A12" s="23" t="s">
        <v>16</v>
      </c>
      <c r="C12" s="36">
        <f ca="1">SLOPE(INDIRECT($E$9):G992,INDIRECT($D$9):F992)</f>
        <v>2.9006752276242501E-7</v>
      </c>
      <c r="D12" s="25"/>
    </row>
    <row r="13" spans="1:15" s="23" customFormat="1" ht="12.95" customHeight="1" x14ac:dyDescent="0.2">
      <c r="A13" s="23" t="s">
        <v>18</v>
      </c>
      <c r="C13" s="25" t="s">
        <v>13</v>
      </c>
    </row>
    <row r="14" spans="1:15" s="23" customFormat="1" ht="12.95" customHeight="1" x14ac:dyDescent="0.2"/>
    <row r="15" spans="1:15" s="23" customFormat="1" ht="12.95" customHeight="1" x14ac:dyDescent="0.2">
      <c r="A15" s="38" t="s">
        <v>17</v>
      </c>
      <c r="C15" s="39">
        <f ca="1">(C7+C11)+(C8+C12)*INT(MAX(F21:F3533))</f>
        <v>49576.362091066658</v>
      </c>
      <c r="E15" s="40" t="s">
        <v>34</v>
      </c>
      <c r="F15" s="41">
        <v>1</v>
      </c>
    </row>
    <row r="16" spans="1:15" s="23" customFormat="1" ht="12.95" customHeight="1" x14ac:dyDescent="0.2">
      <c r="A16" s="26" t="s">
        <v>4</v>
      </c>
      <c r="C16" s="42">
        <f ca="1">+C8+C12</f>
        <v>0.44322629006752279</v>
      </c>
      <c r="E16" s="40" t="s">
        <v>30</v>
      </c>
      <c r="F16" s="42">
        <f ca="1">NOW()+15018.5+$C$5/24</f>
        <v>60368.706652083332</v>
      </c>
    </row>
    <row r="17" spans="1:21" s="23" customFormat="1" ht="12.95" customHeight="1" thickBot="1" x14ac:dyDescent="0.25">
      <c r="A17" s="40" t="s">
        <v>27</v>
      </c>
      <c r="C17" s="23">
        <f>COUNT(C21:C2191)</f>
        <v>11</v>
      </c>
      <c r="E17" s="40" t="s">
        <v>35</v>
      </c>
      <c r="F17" s="43">
        <f ca="1">ROUND(2*(F16-$C$7)/$C$8,0)/2+F15</f>
        <v>38548.5</v>
      </c>
    </row>
    <row r="18" spans="1:21" s="23" customFormat="1" ht="12.95" customHeight="1" thickTop="1" thickBot="1" x14ac:dyDescent="0.25">
      <c r="A18" s="26" t="s">
        <v>5</v>
      </c>
      <c r="C18" s="44">
        <f ca="1">+C15</f>
        <v>49576.362091066658</v>
      </c>
      <c r="D18" s="45">
        <f ca="1">+C16</f>
        <v>0.44322629006752279</v>
      </c>
      <c r="E18" s="40" t="s">
        <v>36</v>
      </c>
      <c r="F18" s="36">
        <f ca="1">ROUND(2*(F16-$C$15)/$C$16,0)/2+F15</f>
        <v>24350.5</v>
      </c>
    </row>
    <row r="19" spans="1:21" s="23" customFormat="1" ht="12.95" customHeight="1" thickTop="1" x14ac:dyDescent="0.2">
      <c r="E19" s="40" t="s">
        <v>31</v>
      </c>
      <c r="F19" s="46">
        <f ca="1">+$C$15+$C$16*F18-15018.5-$C$5/24</f>
        <v>45351.039700689209</v>
      </c>
    </row>
    <row r="20" spans="1:21" s="23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7" t="s">
        <v>37</v>
      </c>
      <c r="I20" s="47" t="s">
        <v>38</v>
      </c>
      <c r="J20" s="47" t="s">
        <v>39</v>
      </c>
      <c r="K20" s="47" t="s">
        <v>40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37" t="s">
        <v>14</v>
      </c>
      <c r="U20" s="49" t="s">
        <v>33</v>
      </c>
    </row>
    <row r="21" spans="1:21" s="23" customFormat="1" ht="12.95" customHeight="1" x14ac:dyDescent="0.2">
      <c r="A21" s="50" t="s">
        <v>57</v>
      </c>
      <c r="B21" s="51" t="s">
        <v>95</v>
      </c>
      <c r="C21" s="52">
        <v>29110.407999999999</v>
      </c>
      <c r="D21" s="31"/>
      <c r="E21" s="23">
        <f t="shared" ref="E21:E31" si="0">+(C21-C$7)/C$8</f>
        <v>-31976.97788487138</v>
      </c>
      <c r="F21" s="23">
        <f t="shared" ref="F21:F31" si="1">ROUND(2*E21,0)/2</f>
        <v>-31977</v>
      </c>
      <c r="G21" s="23">
        <f t="shared" ref="G21:G31" si="2">+C21-(C$7+F21*C$8)</f>
        <v>9.8019999968528282E-3</v>
      </c>
      <c r="H21" s="23">
        <f t="shared" ref="H21:H31" si="3">+G21</f>
        <v>9.8019999968528282E-3</v>
      </c>
      <c r="O21" s="23">
        <f t="shared" ref="O21:O31" ca="1" si="4">+C$11+C$12*$F21</f>
        <v>-1.0050801206717738E-2</v>
      </c>
      <c r="Q21" s="53">
        <f t="shared" ref="Q21:Q31" si="5">+C21-15018.5</f>
        <v>14091.907999999999</v>
      </c>
    </row>
    <row r="22" spans="1:21" s="23" customFormat="1" ht="12.95" customHeight="1" x14ac:dyDescent="0.2">
      <c r="A22" s="50" t="s">
        <v>57</v>
      </c>
      <c r="B22" s="51" t="s">
        <v>95</v>
      </c>
      <c r="C22" s="52">
        <v>29785.433000000001</v>
      </c>
      <c r="D22" s="31"/>
      <c r="E22" s="23">
        <f t="shared" si="0"/>
        <v>-30453.996381078727</v>
      </c>
      <c r="F22" s="23">
        <f t="shared" si="1"/>
        <v>-30454</v>
      </c>
      <c r="G22" s="23">
        <f t="shared" si="2"/>
        <v>1.6040000009525102E-3</v>
      </c>
      <c r="H22" s="23">
        <f t="shared" si="3"/>
        <v>1.6040000009525102E-3</v>
      </c>
      <c r="O22" s="23">
        <f t="shared" ca="1" si="4"/>
        <v>-9.6090283695505659E-3</v>
      </c>
      <c r="Q22" s="53">
        <f t="shared" si="5"/>
        <v>14766.933000000001</v>
      </c>
    </row>
    <row r="23" spans="1:21" s="23" customFormat="1" ht="12.95" customHeight="1" x14ac:dyDescent="0.2">
      <c r="A23" s="50" t="s">
        <v>57</v>
      </c>
      <c r="B23" s="51" t="s">
        <v>96</v>
      </c>
      <c r="C23" s="52">
        <v>29786.517</v>
      </c>
      <c r="D23" s="31"/>
      <c r="E23" s="23">
        <f t="shared" si="0"/>
        <v>-30451.550676178747</v>
      </c>
      <c r="F23" s="23">
        <f t="shared" si="1"/>
        <v>-30451.5</v>
      </c>
      <c r="G23" s="23">
        <f t="shared" si="2"/>
        <v>-2.2461000000475906E-2</v>
      </c>
      <c r="H23" s="23">
        <f t="shared" si="3"/>
        <v>-2.2461000000475906E-2</v>
      </c>
      <c r="O23" s="23">
        <f t="shared" ca="1" si="4"/>
        <v>-9.6083032007436599E-3</v>
      </c>
      <c r="Q23" s="53">
        <f t="shared" si="5"/>
        <v>14768.017</v>
      </c>
    </row>
    <row r="24" spans="1:21" s="23" customFormat="1" ht="12.95" customHeight="1" x14ac:dyDescent="0.2">
      <c r="A24" s="50" t="s">
        <v>57</v>
      </c>
      <c r="B24" s="51" t="s">
        <v>96</v>
      </c>
      <c r="C24" s="52">
        <v>29787.413</v>
      </c>
      <c r="D24" s="31"/>
      <c r="E24" s="23">
        <f t="shared" si="0"/>
        <v>-30449.529134121196</v>
      </c>
      <c r="F24" s="23">
        <f t="shared" si="1"/>
        <v>-30449.5</v>
      </c>
      <c r="G24" s="23">
        <f t="shared" si="2"/>
        <v>-1.2912999998661689E-2</v>
      </c>
      <c r="H24" s="23">
        <f t="shared" si="3"/>
        <v>-1.2912999998661689E-2</v>
      </c>
      <c r="O24" s="23">
        <f t="shared" ca="1" si="4"/>
        <v>-9.6077230656981365E-3</v>
      </c>
      <c r="Q24" s="53">
        <f t="shared" si="5"/>
        <v>14768.913</v>
      </c>
    </row>
    <row r="25" spans="1:21" s="23" customFormat="1" ht="12.95" customHeight="1" x14ac:dyDescent="0.2">
      <c r="A25" s="50" t="s">
        <v>57</v>
      </c>
      <c r="B25" s="51" t="s">
        <v>95</v>
      </c>
      <c r="C25" s="52">
        <v>29808.444</v>
      </c>
      <c r="D25" s="31"/>
      <c r="E25" s="23">
        <f t="shared" si="0"/>
        <v>-30402.079300402056</v>
      </c>
      <c r="F25" s="23">
        <f t="shared" si="1"/>
        <v>-30402</v>
      </c>
      <c r="G25" s="23">
        <f t="shared" si="2"/>
        <v>-3.5147999999026069E-2</v>
      </c>
      <c r="H25" s="23">
        <f t="shared" si="3"/>
        <v>-3.5147999999026069E-2</v>
      </c>
      <c r="O25" s="23">
        <f t="shared" ca="1" si="4"/>
        <v>-9.5939448583669193E-3</v>
      </c>
      <c r="Q25" s="53">
        <f t="shared" si="5"/>
        <v>14789.944</v>
      </c>
    </row>
    <row r="26" spans="1:21" s="23" customFormat="1" ht="12.95" customHeight="1" x14ac:dyDescent="0.2">
      <c r="A26" s="50" t="s">
        <v>57</v>
      </c>
      <c r="B26" s="51" t="s">
        <v>95</v>
      </c>
      <c r="C26" s="52">
        <v>29816.483</v>
      </c>
      <c r="D26" s="31"/>
      <c r="E26" s="23">
        <f t="shared" si="0"/>
        <v>-30383.941826517399</v>
      </c>
      <c r="F26" s="23">
        <f t="shared" si="1"/>
        <v>-30384</v>
      </c>
      <c r="G26" s="23">
        <f t="shared" si="2"/>
        <v>2.5783999997656792E-2</v>
      </c>
      <c r="H26" s="23">
        <f t="shared" si="3"/>
        <v>2.5783999997656792E-2</v>
      </c>
      <c r="O26" s="23">
        <f t="shared" ca="1" si="4"/>
        <v>-9.5887236429571983E-3</v>
      </c>
      <c r="Q26" s="53">
        <f t="shared" si="5"/>
        <v>14797.983</v>
      </c>
    </row>
    <row r="27" spans="1:21" s="23" customFormat="1" ht="12.95" customHeight="1" x14ac:dyDescent="0.2">
      <c r="A27" s="50" t="s">
        <v>57</v>
      </c>
      <c r="B27" s="51" t="s">
        <v>95</v>
      </c>
      <c r="C27" s="52">
        <v>29843.47</v>
      </c>
      <c r="D27" s="31"/>
      <c r="E27" s="23">
        <f t="shared" si="0"/>
        <v>-30323.05415296034</v>
      </c>
      <c r="F27" s="23">
        <f t="shared" si="1"/>
        <v>-30323</v>
      </c>
      <c r="G27" s="23">
        <f t="shared" si="2"/>
        <v>-2.4001999998290557E-2</v>
      </c>
      <c r="H27" s="23">
        <f t="shared" si="3"/>
        <v>-2.4001999998290557E-2</v>
      </c>
      <c r="O27" s="23">
        <f t="shared" ca="1" si="4"/>
        <v>-9.5710295240686895E-3</v>
      </c>
      <c r="Q27" s="53">
        <f t="shared" si="5"/>
        <v>14824.970000000001</v>
      </c>
    </row>
    <row r="28" spans="1:21" s="23" customFormat="1" ht="12.95" customHeight="1" x14ac:dyDescent="0.2">
      <c r="A28" s="50" t="s">
        <v>57</v>
      </c>
      <c r="B28" s="51" t="s">
        <v>96</v>
      </c>
      <c r="C28" s="52">
        <v>29845.469000000001</v>
      </c>
      <c r="D28" s="31"/>
      <c r="E28" s="23">
        <f t="shared" si="0"/>
        <v>-30318.544038481497</v>
      </c>
      <c r="F28" s="23">
        <f t="shared" si="1"/>
        <v>-30318.5</v>
      </c>
      <c r="G28" s="23">
        <f t="shared" si="2"/>
        <v>-1.9518999997671926E-2</v>
      </c>
      <c r="H28" s="23">
        <f t="shared" si="3"/>
        <v>-1.9518999997671926E-2</v>
      </c>
      <c r="O28" s="23">
        <f t="shared" ca="1" si="4"/>
        <v>-9.5697242202162566E-3</v>
      </c>
      <c r="Q28" s="53">
        <f t="shared" si="5"/>
        <v>14826.969000000001</v>
      </c>
    </row>
    <row r="29" spans="1:21" s="23" customFormat="1" ht="12.95" customHeight="1" x14ac:dyDescent="0.2">
      <c r="A29" s="23" t="s">
        <v>50</v>
      </c>
      <c r="C29" s="31">
        <v>43283.436000000002</v>
      </c>
      <c r="D29" s="31" t="s">
        <v>13</v>
      </c>
      <c r="E29" s="23">
        <f t="shared" si="0"/>
        <v>0</v>
      </c>
      <c r="F29" s="23">
        <f t="shared" si="1"/>
        <v>0</v>
      </c>
      <c r="G29" s="23">
        <f t="shared" si="2"/>
        <v>0</v>
      </c>
      <c r="H29" s="23">
        <f t="shared" si="3"/>
        <v>0</v>
      </c>
      <c r="O29" s="23">
        <f t="shared" ca="1" si="4"/>
        <v>-7.7531203134367527E-4</v>
      </c>
      <c r="Q29" s="53">
        <f t="shared" si="5"/>
        <v>28264.936000000002</v>
      </c>
    </row>
    <row r="30" spans="1:21" s="23" customFormat="1" ht="12.95" customHeight="1" x14ac:dyDescent="0.2">
      <c r="A30" s="50" t="s">
        <v>89</v>
      </c>
      <c r="B30" s="51" t="s">
        <v>95</v>
      </c>
      <c r="C30" s="52">
        <v>47717.457000000002</v>
      </c>
      <c r="D30" s="31"/>
      <c r="E30" s="23">
        <f t="shared" si="0"/>
        <v>10003.973142369809</v>
      </c>
      <c r="F30" s="23">
        <f t="shared" si="1"/>
        <v>10004</v>
      </c>
      <c r="G30" s="23">
        <f t="shared" si="2"/>
        <v>-1.190399999904912E-2</v>
      </c>
      <c r="H30" s="23">
        <f t="shared" si="3"/>
        <v>-1.190399999904912E-2</v>
      </c>
      <c r="O30" s="23">
        <f t="shared" ca="1" si="4"/>
        <v>2.1265234663716244E-3</v>
      </c>
      <c r="Q30" s="53">
        <f t="shared" si="5"/>
        <v>32698.957000000002</v>
      </c>
    </row>
    <row r="31" spans="1:21" s="23" customFormat="1" ht="12.95" customHeight="1" x14ac:dyDescent="0.2">
      <c r="A31" s="50" t="s">
        <v>94</v>
      </c>
      <c r="B31" s="51" t="s">
        <v>95</v>
      </c>
      <c r="C31" s="52">
        <v>49576.375</v>
      </c>
      <c r="D31" s="31"/>
      <c r="E31" s="23">
        <f t="shared" si="0"/>
        <v>14198.036667524013</v>
      </c>
      <c r="F31" s="23">
        <f t="shared" si="1"/>
        <v>14198</v>
      </c>
      <c r="G31" s="23">
        <f t="shared" si="2"/>
        <v>1.6252000001259148E-2</v>
      </c>
      <c r="H31" s="23">
        <f t="shared" si="3"/>
        <v>1.6252000001259148E-2</v>
      </c>
      <c r="O31" s="23">
        <f t="shared" ca="1" si="4"/>
        <v>3.3430666568372352E-3</v>
      </c>
      <c r="Q31" s="53">
        <f t="shared" si="5"/>
        <v>34557.875</v>
      </c>
    </row>
    <row r="32" spans="1:21" s="23" customFormat="1" ht="12.95" customHeight="1" x14ac:dyDescent="0.2">
      <c r="B32" s="25"/>
      <c r="C32" s="31"/>
      <c r="D32" s="31"/>
      <c r="Q32" s="53"/>
    </row>
    <row r="33" spans="2:17" s="23" customFormat="1" ht="12.95" customHeight="1" x14ac:dyDescent="0.2">
      <c r="B33" s="25"/>
      <c r="C33" s="31"/>
      <c r="D33" s="31"/>
      <c r="Q33" s="53"/>
    </row>
    <row r="34" spans="2:17" s="23" customFormat="1" ht="12.95" customHeight="1" x14ac:dyDescent="0.2">
      <c r="B34" s="25"/>
      <c r="C34" s="31"/>
      <c r="D34" s="31"/>
    </row>
    <row r="35" spans="2:17" s="23" customFormat="1" ht="12.95" customHeight="1" x14ac:dyDescent="0.2">
      <c r="C35" s="31"/>
      <c r="D35" s="31"/>
    </row>
    <row r="36" spans="2:17" s="23" customFormat="1" ht="12.95" customHeight="1" x14ac:dyDescent="0.2">
      <c r="C36" s="31"/>
      <c r="D36" s="31"/>
    </row>
    <row r="37" spans="2:17" x14ac:dyDescent="0.2">
      <c r="C37" s="3"/>
      <c r="D37" s="3"/>
    </row>
    <row r="38" spans="2:17" x14ac:dyDescent="0.2">
      <c r="C38" s="3"/>
      <c r="D38" s="3"/>
    </row>
    <row r="39" spans="2:17" x14ac:dyDescent="0.2">
      <c r="C39" s="3"/>
      <c r="D39" s="3"/>
    </row>
    <row r="40" spans="2:17" x14ac:dyDescent="0.2">
      <c r="C40" s="3"/>
      <c r="D40" s="3"/>
    </row>
    <row r="41" spans="2:17" x14ac:dyDescent="0.2">
      <c r="C41" s="3"/>
      <c r="D41" s="3"/>
    </row>
    <row r="42" spans="2:17" x14ac:dyDescent="0.2">
      <c r="C42" s="3"/>
      <c r="D42" s="3"/>
    </row>
    <row r="43" spans="2:17" x14ac:dyDescent="0.2">
      <c r="C43" s="3"/>
      <c r="D43" s="3"/>
    </row>
    <row r="44" spans="2:17" x14ac:dyDescent="0.2">
      <c r="C44" s="3"/>
      <c r="D44" s="3"/>
    </row>
    <row r="45" spans="2:17" x14ac:dyDescent="0.2">
      <c r="C45" s="3"/>
      <c r="D45" s="3"/>
    </row>
    <row r="46" spans="2:17" x14ac:dyDescent="0.2">
      <c r="C46" s="3"/>
      <c r="D46" s="3"/>
    </row>
    <row r="47" spans="2:17" x14ac:dyDescent="0.2">
      <c r="C47" s="3"/>
      <c r="D47" s="3"/>
    </row>
    <row r="48" spans="2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6"/>
  <sheetViews>
    <sheetView workbookViewId="0">
      <selection activeCell="A12" sqref="A12:C21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0" t="s">
        <v>41</v>
      </c>
      <c r="I1" s="11" t="s">
        <v>42</v>
      </c>
      <c r="J1" s="12" t="s">
        <v>40</v>
      </c>
    </row>
    <row r="2" spans="1:16" x14ac:dyDescent="0.2">
      <c r="I2" s="13" t="s">
        <v>43</v>
      </c>
      <c r="J2" s="14" t="s">
        <v>39</v>
      </c>
    </row>
    <row r="3" spans="1:16" x14ac:dyDescent="0.2">
      <c r="A3" s="15" t="s">
        <v>44</v>
      </c>
      <c r="I3" s="13" t="s">
        <v>45</v>
      </c>
      <c r="J3" s="14" t="s">
        <v>37</v>
      </c>
    </row>
    <row r="4" spans="1:16" x14ac:dyDescent="0.2">
      <c r="I4" s="13" t="s">
        <v>46</v>
      </c>
      <c r="J4" s="14" t="s">
        <v>37</v>
      </c>
    </row>
    <row r="5" spans="1:16" ht="13.5" thickBot="1" x14ac:dyDescent="0.25">
      <c r="I5" s="16" t="s">
        <v>47</v>
      </c>
      <c r="J5" s="17" t="s">
        <v>38</v>
      </c>
    </row>
    <row r="10" spans="1:16" ht="13.5" thickBot="1" x14ac:dyDescent="0.25"/>
    <row r="11" spans="1:16" ht="12.75" customHeight="1" thickBot="1" x14ac:dyDescent="0.25">
      <c r="A11" s="3" t="str">
        <f t="shared" ref="A11:A21" si="0">P11</f>
        <v> BBS 33 </v>
      </c>
      <c r="B11" s="2" t="str">
        <f t="shared" ref="B11:B21" si="1">IF(H11=INT(H11),"I","II")</f>
        <v>I</v>
      </c>
      <c r="C11" s="3">
        <f t="shared" ref="C11:C21" si="2">1*G11</f>
        <v>43283.436000000002</v>
      </c>
      <c r="D11" s="4" t="str">
        <f t="shared" ref="D11:D21" si="3">VLOOKUP(F11,I$1:J$5,2,FALSE)</f>
        <v>vis</v>
      </c>
      <c r="E11" s="18">
        <f>VLOOKUP(C11,Active!C$21:E$973,3,FALSE)</f>
        <v>0</v>
      </c>
      <c r="F11" s="2" t="s">
        <v>47</v>
      </c>
      <c r="G11" s="4" t="str">
        <f t="shared" ref="G11:G21" si="4">MID(I11,3,LEN(I11)-3)</f>
        <v>43283.436</v>
      </c>
      <c r="H11" s="3">
        <f t="shared" ref="H11:H21" si="5">1*K11</f>
        <v>0</v>
      </c>
      <c r="I11" s="19" t="s">
        <v>79</v>
      </c>
      <c r="J11" s="20" t="s">
        <v>80</v>
      </c>
      <c r="K11" s="19">
        <v>0</v>
      </c>
      <c r="L11" s="19" t="s">
        <v>81</v>
      </c>
      <c r="M11" s="20" t="s">
        <v>82</v>
      </c>
      <c r="N11" s="20"/>
      <c r="O11" s="21" t="s">
        <v>83</v>
      </c>
      <c r="P11" s="21" t="s">
        <v>84</v>
      </c>
    </row>
    <row r="12" spans="1:16" ht="12.75" customHeight="1" thickBot="1" x14ac:dyDescent="0.25">
      <c r="A12" s="3" t="str">
        <f t="shared" si="0"/>
        <v> VSS 4.206 </v>
      </c>
      <c r="B12" s="2" t="str">
        <f t="shared" si="1"/>
        <v>I</v>
      </c>
      <c r="C12" s="3">
        <f t="shared" si="2"/>
        <v>29110.407999999999</v>
      </c>
      <c r="D12" s="4" t="str">
        <f t="shared" si="3"/>
        <v>vis</v>
      </c>
      <c r="E12" s="18">
        <f>VLOOKUP(C12,Active!C$21:E$973,3,FALSE)</f>
        <v>-31976.97788487138</v>
      </c>
      <c r="F12" s="2" t="s">
        <v>47</v>
      </c>
      <c r="G12" s="4" t="str">
        <f t="shared" si="4"/>
        <v>29110.408</v>
      </c>
      <c r="H12" s="3">
        <f t="shared" si="5"/>
        <v>-31977</v>
      </c>
      <c r="I12" s="19" t="s">
        <v>52</v>
      </c>
      <c r="J12" s="20" t="s">
        <v>53</v>
      </c>
      <c r="K12" s="19">
        <v>-31977</v>
      </c>
      <c r="L12" s="19" t="s">
        <v>54</v>
      </c>
      <c r="M12" s="20" t="s">
        <v>55</v>
      </c>
      <c r="N12" s="20"/>
      <c r="O12" s="21" t="s">
        <v>56</v>
      </c>
      <c r="P12" s="21" t="s">
        <v>57</v>
      </c>
    </row>
    <row r="13" spans="1:16" ht="12.75" customHeight="1" thickBot="1" x14ac:dyDescent="0.25">
      <c r="A13" s="3" t="str">
        <f t="shared" si="0"/>
        <v> VSS 4.206 </v>
      </c>
      <c r="B13" s="2" t="str">
        <f t="shared" si="1"/>
        <v>I</v>
      </c>
      <c r="C13" s="3">
        <f t="shared" si="2"/>
        <v>29785.433000000001</v>
      </c>
      <c r="D13" s="4" t="str">
        <f t="shared" si="3"/>
        <v>vis</v>
      </c>
      <c r="E13" s="18">
        <f>VLOOKUP(C13,Active!C$21:E$973,3,FALSE)</f>
        <v>-30453.996381078727</v>
      </c>
      <c r="F13" s="2" t="s">
        <v>47</v>
      </c>
      <c r="G13" s="4" t="str">
        <f t="shared" si="4"/>
        <v>29785.433</v>
      </c>
      <c r="H13" s="3">
        <f t="shared" si="5"/>
        <v>-30454</v>
      </c>
      <c r="I13" s="19" t="s">
        <v>58</v>
      </c>
      <c r="J13" s="20" t="s">
        <v>59</v>
      </c>
      <c r="K13" s="19">
        <v>-30454</v>
      </c>
      <c r="L13" s="19" t="s">
        <v>60</v>
      </c>
      <c r="M13" s="20" t="s">
        <v>55</v>
      </c>
      <c r="N13" s="20"/>
      <c r="O13" s="21" t="s">
        <v>56</v>
      </c>
      <c r="P13" s="21" t="s">
        <v>57</v>
      </c>
    </row>
    <row r="14" spans="1:16" ht="12.75" customHeight="1" thickBot="1" x14ac:dyDescent="0.25">
      <c r="A14" s="3" t="str">
        <f t="shared" si="0"/>
        <v> VSS 4.206 </v>
      </c>
      <c r="B14" s="2" t="str">
        <f t="shared" si="1"/>
        <v>II</v>
      </c>
      <c r="C14" s="3">
        <f t="shared" si="2"/>
        <v>29786.517</v>
      </c>
      <c r="D14" s="4" t="str">
        <f t="shared" si="3"/>
        <v>vis</v>
      </c>
      <c r="E14" s="18">
        <f>VLOOKUP(C14,Active!C$21:E$973,3,FALSE)</f>
        <v>-30451.550676178747</v>
      </c>
      <c r="F14" s="2" t="s">
        <v>47</v>
      </c>
      <c r="G14" s="4" t="str">
        <f t="shared" si="4"/>
        <v>29786.517</v>
      </c>
      <c r="H14" s="3">
        <f t="shared" si="5"/>
        <v>-30451.5</v>
      </c>
      <c r="I14" s="19" t="s">
        <v>61</v>
      </c>
      <c r="J14" s="20" t="s">
        <v>62</v>
      </c>
      <c r="K14" s="19">
        <v>-30451.5</v>
      </c>
      <c r="L14" s="19" t="s">
        <v>63</v>
      </c>
      <c r="M14" s="20" t="s">
        <v>55</v>
      </c>
      <c r="N14" s="20"/>
      <c r="O14" s="21" t="s">
        <v>56</v>
      </c>
      <c r="P14" s="21" t="s">
        <v>57</v>
      </c>
    </row>
    <row r="15" spans="1:16" ht="12.75" customHeight="1" thickBot="1" x14ac:dyDescent="0.25">
      <c r="A15" s="3" t="str">
        <f t="shared" si="0"/>
        <v> VSS 4.206 </v>
      </c>
      <c r="B15" s="2" t="str">
        <f t="shared" si="1"/>
        <v>II</v>
      </c>
      <c r="C15" s="3">
        <f t="shared" si="2"/>
        <v>29787.413</v>
      </c>
      <c r="D15" s="4" t="str">
        <f t="shared" si="3"/>
        <v>vis</v>
      </c>
      <c r="E15" s="18">
        <f>VLOOKUP(C15,Active!C$21:E$973,3,FALSE)</f>
        <v>-30449.529134121196</v>
      </c>
      <c r="F15" s="2" t="s">
        <v>47</v>
      </c>
      <c r="G15" s="4" t="str">
        <f t="shared" si="4"/>
        <v>29787.413</v>
      </c>
      <c r="H15" s="3">
        <f t="shared" si="5"/>
        <v>-30449.5</v>
      </c>
      <c r="I15" s="19" t="s">
        <v>64</v>
      </c>
      <c r="J15" s="20" t="s">
        <v>65</v>
      </c>
      <c r="K15" s="19">
        <v>-30449.5</v>
      </c>
      <c r="L15" s="19" t="s">
        <v>66</v>
      </c>
      <c r="M15" s="20" t="s">
        <v>55</v>
      </c>
      <c r="N15" s="20"/>
      <c r="O15" s="21" t="s">
        <v>56</v>
      </c>
      <c r="P15" s="21" t="s">
        <v>57</v>
      </c>
    </row>
    <row r="16" spans="1:16" ht="12.75" customHeight="1" thickBot="1" x14ac:dyDescent="0.25">
      <c r="A16" s="3" t="str">
        <f t="shared" si="0"/>
        <v> VSS 4.206 </v>
      </c>
      <c r="B16" s="2" t="str">
        <f t="shared" si="1"/>
        <v>I</v>
      </c>
      <c r="C16" s="3">
        <f t="shared" si="2"/>
        <v>29808.444</v>
      </c>
      <c r="D16" s="4" t="str">
        <f t="shared" si="3"/>
        <v>vis</v>
      </c>
      <c r="E16" s="18">
        <f>VLOOKUP(C16,Active!C$21:E$973,3,FALSE)</f>
        <v>-30402.079300402056</v>
      </c>
      <c r="F16" s="2" t="s">
        <v>47</v>
      </c>
      <c r="G16" s="4" t="str">
        <f t="shared" si="4"/>
        <v>29808.444</v>
      </c>
      <c r="H16" s="3">
        <f t="shared" si="5"/>
        <v>-30402</v>
      </c>
      <c r="I16" s="19" t="s">
        <v>67</v>
      </c>
      <c r="J16" s="20" t="s">
        <v>68</v>
      </c>
      <c r="K16" s="19">
        <v>-30402</v>
      </c>
      <c r="L16" s="19" t="s">
        <v>69</v>
      </c>
      <c r="M16" s="20" t="s">
        <v>55</v>
      </c>
      <c r="N16" s="20"/>
      <c r="O16" s="21" t="s">
        <v>56</v>
      </c>
      <c r="P16" s="21" t="s">
        <v>57</v>
      </c>
    </row>
    <row r="17" spans="1:16" ht="12.75" customHeight="1" thickBot="1" x14ac:dyDescent="0.25">
      <c r="A17" s="3" t="str">
        <f t="shared" si="0"/>
        <v> VSS 4.206 </v>
      </c>
      <c r="B17" s="2" t="str">
        <f t="shared" si="1"/>
        <v>I</v>
      </c>
      <c r="C17" s="3">
        <f t="shared" si="2"/>
        <v>29816.483</v>
      </c>
      <c r="D17" s="4" t="str">
        <f t="shared" si="3"/>
        <v>vis</v>
      </c>
      <c r="E17" s="18">
        <f>VLOOKUP(C17,Active!C$21:E$973,3,FALSE)</f>
        <v>-30383.941826517399</v>
      </c>
      <c r="F17" s="2" t="s">
        <v>47</v>
      </c>
      <c r="G17" s="4" t="str">
        <f t="shared" si="4"/>
        <v>29816.483</v>
      </c>
      <c r="H17" s="3">
        <f t="shared" si="5"/>
        <v>-30384</v>
      </c>
      <c r="I17" s="19" t="s">
        <v>70</v>
      </c>
      <c r="J17" s="20" t="s">
        <v>71</v>
      </c>
      <c r="K17" s="19">
        <v>-30384</v>
      </c>
      <c r="L17" s="19" t="s">
        <v>72</v>
      </c>
      <c r="M17" s="20" t="s">
        <v>55</v>
      </c>
      <c r="N17" s="20"/>
      <c r="O17" s="21" t="s">
        <v>56</v>
      </c>
      <c r="P17" s="21" t="s">
        <v>57</v>
      </c>
    </row>
    <row r="18" spans="1:16" ht="12.75" customHeight="1" thickBot="1" x14ac:dyDescent="0.25">
      <c r="A18" s="3" t="str">
        <f t="shared" si="0"/>
        <v> VSS 4.206 </v>
      </c>
      <c r="B18" s="2" t="str">
        <f t="shared" si="1"/>
        <v>I</v>
      </c>
      <c r="C18" s="3">
        <f t="shared" si="2"/>
        <v>29843.47</v>
      </c>
      <c r="D18" s="4" t="str">
        <f t="shared" si="3"/>
        <v>vis</v>
      </c>
      <c r="E18" s="18">
        <f>VLOOKUP(C18,Active!C$21:E$973,3,FALSE)</f>
        <v>-30323.05415296034</v>
      </c>
      <c r="F18" s="2" t="s">
        <v>47</v>
      </c>
      <c r="G18" s="4" t="str">
        <f t="shared" si="4"/>
        <v>29843.470</v>
      </c>
      <c r="H18" s="3">
        <f t="shared" si="5"/>
        <v>-30323</v>
      </c>
      <c r="I18" s="19" t="s">
        <v>73</v>
      </c>
      <c r="J18" s="20" t="s">
        <v>74</v>
      </c>
      <c r="K18" s="19">
        <v>-30323</v>
      </c>
      <c r="L18" s="19" t="s">
        <v>75</v>
      </c>
      <c r="M18" s="20" t="s">
        <v>55</v>
      </c>
      <c r="N18" s="20"/>
      <c r="O18" s="21" t="s">
        <v>56</v>
      </c>
      <c r="P18" s="21" t="s">
        <v>57</v>
      </c>
    </row>
    <row r="19" spans="1:16" ht="12.75" customHeight="1" thickBot="1" x14ac:dyDescent="0.25">
      <c r="A19" s="3" t="str">
        <f t="shared" si="0"/>
        <v> VSS 4.206 </v>
      </c>
      <c r="B19" s="2" t="str">
        <f t="shared" si="1"/>
        <v>II</v>
      </c>
      <c r="C19" s="3">
        <f t="shared" si="2"/>
        <v>29845.469000000001</v>
      </c>
      <c r="D19" s="4" t="str">
        <f t="shared" si="3"/>
        <v>vis</v>
      </c>
      <c r="E19" s="18">
        <f>VLOOKUP(C19,Active!C$21:E$973,3,FALSE)</f>
        <v>-30318.544038481497</v>
      </c>
      <c r="F19" s="2" t="s">
        <v>47</v>
      </c>
      <c r="G19" s="4" t="str">
        <f t="shared" si="4"/>
        <v>29845.469</v>
      </c>
      <c r="H19" s="3">
        <f t="shared" si="5"/>
        <v>-30318.5</v>
      </c>
      <c r="I19" s="19" t="s">
        <v>76</v>
      </c>
      <c r="J19" s="20" t="s">
        <v>77</v>
      </c>
      <c r="K19" s="19">
        <v>-30318.5</v>
      </c>
      <c r="L19" s="19" t="s">
        <v>78</v>
      </c>
      <c r="M19" s="20" t="s">
        <v>55</v>
      </c>
      <c r="N19" s="20"/>
      <c r="O19" s="21" t="s">
        <v>56</v>
      </c>
      <c r="P19" s="21" t="s">
        <v>57</v>
      </c>
    </row>
    <row r="20" spans="1:16" ht="12.75" customHeight="1" thickBot="1" x14ac:dyDescent="0.25">
      <c r="A20" s="3" t="str">
        <f t="shared" si="0"/>
        <v> BRNO 30 </v>
      </c>
      <c r="B20" s="2" t="str">
        <f t="shared" si="1"/>
        <v>I</v>
      </c>
      <c r="C20" s="3">
        <f t="shared" si="2"/>
        <v>47717.457000000002</v>
      </c>
      <c r="D20" s="4" t="str">
        <f t="shared" si="3"/>
        <v>vis</v>
      </c>
      <c r="E20" s="18">
        <f>VLOOKUP(C20,Active!C$21:E$973,3,FALSE)</f>
        <v>10003.973142369809</v>
      </c>
      <c r="F20" s="2" t="s">
        <v>47</v>
      </c>
      <c r="G20" s="4" t="str">
        <f t="shared" si="4"/>
        <v>47717.457</v>
      </c>
      <c r="H20" s="3">
        <f t="shared" si="5"/>
        <v>10004</v>
      </c>
      <c r="I20" s="19" t="s">
        <v>85</v>
      </c>
      <c r="J20" s="20" t="s">
        <v>86</v>
      </c>
      <c r="K20" s="19">
        <v>10004</v>
      </c>
      <c r="L20" s="19" t="s">
        <v>87</v>
      </c>
      <c r="M20" s="20" t="s">
        <v>82</v>
      </c>
      <c r="N20" s="20"/>
      <c r="O20" s="21" t="s">
        <v>88</v>
      </c>
      <c r="P20" s="21" t="s">
        <v>89</v>
      </c>
    </row>
    <row r="21" spans="1:16" ht="12.75" customHeight="1" thickBot="1" x14ac:dyDescent="0.25">
      <c r="A21" s="3" t="str">
        <f t="shared" si="0"/>
        <v> BRNO 31 </v>
      </c>
      <c r="B21" s="2" t="str">
        <f t="shared" si="1"/>
        <v>I</v>
      </c>
      <c r="C21" s="3">
        <f t="shared" si="2"/>
        <v>49576.375</v>
      </c>
      <c r="D21" s="4" t="str">
        <f t="shared" si="3"/>
        <v>vis</v>
      </c>
      <c r="E21" s="18">
        <f>VLOOKUP(C21,Active!C$21:E$973,3,FALSE)</f>
        <v>14198.036667524013</v>
      </c>
      <c r="F21" s="2" t="s">
        <v>47</v>
      </c>
      <c r="G21" s="4" t="str">
        <f t="shared" si="4"/>
        <v>49576.375</v>
      </c>
      <c r="H21" s="3">
        <f t="shared" si="5"/>
        <v>14198</v>
      </c>
      <c r="I21" s="19" t="s">
        <v>90</v>
      </c>
      <c r="J21" s="20" t="s">
        <v>91</v>
      </c>
      <c r="K21" s="19">
        <v>14198</v>
      </c>
      <c r="L21" s="19" t="s">
        <v>92</v>
      </c>
      <c r="M21" s="20" t="s">
        <v>82</v>
      </c>
      <c r="N21" s="20"/>
      <c r="O21" s="21" t="s">
        <v>93</v>
      </c>
      <c r="P21" s="21" t="s">
        <v>94</v>
      </c>
    </row>
    <row r="22" spans="1:16" x14ac:dyDescent="0.2">
      <c r="B22" s="2"/>
      <c r="F22" s="2"/>
    </row>
    <row r="23" spans="1:16" x14ac:dyDescent="0.2">
      <c r="B23" s="2"/>
      <c r="F23" s="2"/>
    </row>
    <row r="24" spans="1:16" x14ac:dyDescent="0.2">
      <c r="B24" s="2"/>
      <c r="F24" s="2"/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2024-02-28T03:57:34Z</dcterms:modified>
</cp:coreProperties>
</file>