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444632D-2EF4-48C4-B2F4-256F59C2B3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Q22" i="1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20" i="2"/>
  <c r="C20" i="2"/>
  <c r="E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0" i="2"/>
  <c r="B20" i="2"/>
  <c r="D20" i="2"/>
  <c r="A20" i="2"/>
  <c r="F11" i="1"/>
  <c r="Q23" i="1"/>
  <c r="Q24" i="1"/>
  <c r="Q25" i="1"/>
  <c r="Q26" i="1"/>
  <c r="Q27" i="1"/>
  <c r="I28" i="1"/>
  <c r="Q28" i="1"/>
  <c r="Q29" i="1"/>
  <c r="Q30" i="1"/>
  <c r="Q31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8" i="1" l="1"/>
  <c r="O30" i="1"/>
  <c r="O21" i="1"/>
  <c r="C15" i="1"/>
  <c r="O26" i="1"/>
  <c r="O29" i="1"/>
  <c r="O25" i="1"/>
  <c r="O23" i="1"/>
  <c r="O31" i="1"/>
  <c r="O22" i="1"/>
  <c r="O24" i="1"/>
  <c r="O27" i="1"/>
  <c r="C18" i="1" l="1"/>
  <c r="E16" i="1"/>
  <c r="E17" i="1" s="1"/>
</calcChain>
</file>

<file path=xl/sharedStrings.xml><?xml version="1.0" encoding="utf-8"?>
<sst xmlns="http://schemas.openxmlformats.org/spreadsheetml/2006/main" count="162" uniqueCount="92">
  <si>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</si>
  <si>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</si>
  <si>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</si>
  <si>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</si>
  <si>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</si>
  <si>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</si>
  <si>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</si>
  <si>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</si>
  <si>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</si>
  <si>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</si>
  <si>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</si>
  <si>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</si>
  <si>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</si>
  <si>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</si>
  <si>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</si>
  <si>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</si>
  <si>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</si>
  <si>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</si>
  <si>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</si>
  <si>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</si>
  <si>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</si>
  <si>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</si>
  <si>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</si>
  <si>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</si>
  <si>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</si>
  <si>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</si>
  <si>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</si>
  <si>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</si>
  <si>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</si>
  <si>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</si>
  <si>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</si>
  <si>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</si>
  <si>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</si>
  <si>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</si>
  <si>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</si>
  <si>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</si>
  <si>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</si>
  <si>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</si>
  <si>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</si>
  <si>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</si>
  <si>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V1058 Oph</t>
  </si>
  <si>
    <t>not avail.</t>
  </si>
  <si>
    <t>V1058 Oph / GSC na</t>
  </si>
  <si>
    <t>EA/SD:</t>
  </si>
  <si>
    <t>VSX</t>
  </si>
  <si>
    <t>IBVS 5350</t>
  </si>
  <si>
    <t>I</t>
  </si>
  <si>
    <t>pg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</si>
  <si>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</si>
  <si>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</si>
  <si>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</si>
  <si>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</si>
  <si>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</si>
  <si>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</si>
  <si>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</si>
  <si>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</si>
  <si>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</si>
  <si>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</si>
  <si>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2438583.446 </t>
  </si>
  <si>
    <t> 06.07.1964 22:42 </t>
  </si>
  <si>
    <t> 0.000 </t>
  </si>
  <si>
    <t>P </t>
  </si>
  <si>
    <t> K.Häussler et al. </t>
  </si>
  <si>
    <t>IBVS 5350 </t>
  </si>
  <si>
    <t>2438640.336 </t>
  </si>
  <si>
    <t> 01.09.1964 20:03 </t>
  </si>
  <si>
    <t> -0.110 </t>
  </si>
  <si>
    <t>2438856.523 </t>
  </si>
  <si>
    <t> 06.04.1965 00:33 </t>
  </si>
  <si>
    <t> 0.077 </t>
  </si>
  <si>
    <t>2444402.422 </t>
  </si>
  <si>
    <t> 11.06.1980 22:07 </t>
  </si>
  <si>
    <t> 1.476 </t>
  </si>
  <si>
    <t>2444732.466 </t>
  </si>
  <si>
    <t> 07.05.1981 23:11 </t>
  </si>
  <si>
    <t> 1.520 </t>
  </si>
  <si>
    <t>2444749.430 </t>
  </si>
  <si>
    <t> 24.05.1981 22:19 </t>
  </si>
  <si>
    <t> 1.484 </t>
  </si>
  <si>
    <t>2445056.580 </t>
  </si>
  <si>
    <t> 28.03.1982 01:55 </t>
  </si>
  <si>
    <t> 1.634 </t>
  </si>
  <si>
    <t>2446592.474 </t>
  </si>
  <si>
    <t> 10.06.1986 23:22 </t>
  </si>
  <si>
    <t> 1.528 </t>
  </si>
  <si>
    <t>2446649.374 </t>
  </si>
  <si>
    <t> 06.08.1986 20:58 </t>
  </si>
  <si>
    <t> 1.428 </t>
  </si>
  <si>
    <t>2448088.400 </t>
  </si>
  <si>
    <t> 15.07.1990 21:36 </t>
  </si>
  <si>
    <t> 1.454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</si>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</sst>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V1058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0B-4DB4-BE23-FB5206ABF6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4.0500000031897798E-3</c:v>
                </c:pt>
                <c:pt idx="3">
                  <c:v>3.9640000002691522E-2</c:v>
                </c:pt>
                <c:pt idx="4">
                  <c:v>-5.1484999996318948E-2</c:v>
                </c:pt>
                <c:pt idx="5">
                  <c:v>7.7205000001413282E-2</c:v>
                </c:pt>
                <c:pt idx="6">
                  <c:v>-2.3379999998724088E-2</c:v>
                </c:pt>
                <c:pt idx="7">
                  <c:v>-3.590999999869382E-2</c:v>
                </c:pt>
                <c:pt idx="8">
                  <c:v>4.544000000169035E-2</c:v>
                </c:pt>
                <c:pt idx="9">
                  <c:v>6.3490000007732306E-2</c:v>
                </c:pt>
                <c:pt idx="10">
                  <c:v>-2.3844999996072147E-2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0B-4DB4-BE23-FB5206ABF6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0B-4DB4-BE23-FB5206ABF6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-3.9999999935389496E-3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0B-4DB4-BE23-FB5206ABF6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0B-4DB4-BE23-FB5206ABF6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0B-4DB4-BE23-FB5206ABF6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0B-4DB4-BE23-FB5206ABF6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6.968360736999659E-3</c:v>
                </c:pt>
                <c:pt idx="1">
                  <c:v>6.968360736999659E-3</c:v>
                </c:pt>
                <c:pt idx="2">
                  <c:v>6.9847474411167329E-3</c:v>
                </c:pt>
                <c:pt idx="3">
                  <c:v>7.0470169167616125E-3</c:v>
                </c:pt>
                <c:pt idx="4">
                  <c:v>8.6447205681762854E-3</c:v>
                </c:pt>
                <c:pt idx="5">
                  <c:v>8.7397634520553127E-3</c:v>
                </c:pt>
                <c:pt idx="6">
                  <c:v>8.7446794632904338E-3</c:v>
                </c:pt>
                <c:pt idx="7">
                  <c:v>8.8331676655226312E-3</c:v>
                </c:pt>
                <c:pt idx="8">
                  <c:v>9.2756086766836183E-3</c:v>
                </c:pt>
                <c:pt idx="9">
                  <c:v>9.2919953808006921E-3</c:v>
                </c:pt>
                <c:pt idx="10">
                  <c:v>9.7065789949626526E-3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0B-4DB4-BE23-FB5206ABF6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48</c:v>
                </c:pt>
                <c:pt idx="4">
                  <c:v>1023</c:v>
                </c:pt>
                <c:pt idx="5">
                  <c:v>1081</c:v>
                </c:pt>
                <c:pt idx="6">
                  <c:v>1084</c:v>
                </c:pt>
                <c:pt idx="7">
                  <c:v>1138</c:v>
                </c:pt>
                <c:pt idx="8">
                  <c:v>1408</c:v>
                </c:pt>
                <c:pt idx="9">
                  <c:v>1418</c:v>
                </c:pt>
                <c:pt idx="10">
                  <c:v>1671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0B-4DB4-BE23-FB5206ABF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941632"/>
        <c:axId val="1"/>
      </c:scatterChart>
      <c:valAx>
        <c:axId val="850941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941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A3C2E3-02FA-F689-7C03-56D74820B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50" TargetMode="External"/><Relationship Id="rId3" Type="http://schemas.openxmlformats.org/officeDocument/2006/relationships/hyperlink" Target="http://www.konkoly.hu/cgi-bin/IBVS?5350" TargetMode="External"/><Relationship Id="rId7" Type="http://schemas.openxmlformats.org/officeDocument/2006/relationships/hyperlink" Target="http://www.konkoly.hu/cgi-bin/IBVS?5350" TargetMode="External"/><Relationship Id="rId2" Type="http://schemas.openxmlformats.org/officeDocument/2006/relationships/hyperlink" Target="http://www.konkoly.hu/cgi-bin/IBVS?5350" TargetMode="External"/><Relationship Id="rId1" Type="http://schemas.openxmlformats.org/officeDocument/2006/relationships/hyperlink" Target="http://www.konkoly.hu/cgi-bin/IBVS?5350" TargetMode="External"/><Relationship Id="rId6" Type="http://schemas.openxmlformats.org/officeDocument/2006/relationships/hyperlink" Target="http://www.konkoly.hu/cgi-bin/IBVS?5350" TargetMode="External"/><Relationship Id="rId5" Type="http://schemas.openxmlformats.org/officeDocument/2006/relationships/hyperlink" Target="http://www.konkoly.hu/cgi-bin/IBVS?5350" TargetMode="External"/><Relationship Id="rId10" Type="http://schemas.openxmlformats.org/officeDocument/2006/relationships/hyperlink" Target="http://www.konkoly.hu/cgi-bin/IBVS?5350" TargetMode="External"/><Relationship Id="rId4" Type="http://schemas.openxmlformats.org/officeDocument/2006/relationships/hyperlink" Target="http://www.konkoly.hu/cgi-bin/IBVS?5350" TargetMode="External"/><Relationship Id="rId9" Type="http://schemas.openxmlformats.org/officeDocument/2006/relationships/hyperlink" Target="http://www.konkoly.hu/cgi-bin/IBVS?53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5" t="s">
        <v>40</v>
      </c>
      <c r="F1" t="s">
        <v>13</v>
      </c>
    </row>
    <row r="2" spans="1:7" s="21" customFormat="1" ht="12.95" customHeight="1" x14ac:dyDescent="0.2">
      <c r="A2" s="21" t="s">
        <v>23</v>
      </c>
      <c r="B2" s="21" t="s">
        <v>43</v>
      </c>
      <c r="C2" s="22"/>
      <c r="D2" s="22"/>
      <c r="E2" s="21">
        <v>0</v>
      </c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>
        <v>38583.449999999997</v>
      </c>
      <c r="D4" s="25" t="s">
        <v>41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26">
        <v>38583.449999999997</v>
      </c>
      <c r="D7" s="27" t="s">
        <v>44</v>
      </c>
    </row>
    <row r="8" spans="1:7" s="21" customFormat="1" ht="12.95" customHeight="1" x14ac:dyDescent="0.2">
      <c r="A8" s="21" t="s">
        <v>3</v>
      </c>
      <c r="C8" s="26">
        <v>5.6881950000000003</v>
      </c>
      <c r="D8" s="27" t="s">
        <v>44</v>
      </c>
    </row>
    <row r="9" spans="1:7" s="21" customFormat="1" ht="12.95" customHeight="1" x14ac:dyDescent="0.2">
      <c r="A9" s="28" t="s">
        <v>28</v>
      </c>
      <c r="C9" s="29">
        <v>-9.5</v>
      </c>
      <c r="D9" s="21" t="s">
        <v>29</v>
      </c>
    </row>
    <row r="10" spans="1:7" s="21" customFormat="1" ht="12.95" customHeight="1" thickBot="1" x14ac:dyDescent="0.25">
      <c r="C10" s="30" t="s">
        <v>19</v>
      </c>
      <c r="D10" s="30" t="s">
        <v>20</v>
      </c>
    </row>
    <row r="11" spans="1:7" s="21" customFormat="1" ht="12.95" customHeight="1" x14ac:dyDescent="0.2">
      <c r="A11" s="21" t="s">
        <v>15</v>
      </c>
      <c r="C11" s="31">
        <f ca="1">INTERCEPT(INDIRECT($G$11):G991,INDIRECT($F$11):F991)</f>
        <v>6.968360736999659E-3</v>
      </c>
      <c r="D11" s="22"/>
      <c r="F11" s="32" t="str">
        <f>"F"&amp;E19</f>
        <v>F21</v>
      </c>
      <c r="G11" s="31" t="str">
        <f>"G"&amp;E19</f>
        <v>G21</v>
      </c>
    </row>
    <row r="12" spans="1:7" s="21" customFormat="1" ht="12.95" customHeight="1" x14ac:dyDescent="0.2">
      <c r="A12" s="21" t="s">
        <v>16</v>
      </c>
      <c r="C12" s="31">
        <f ca="1">SLOPE(INDIRECT($G$11):G991,INDIRECT($F$11):F991)</f>
        <v>1.6386704117073572E-6</v>
      </c>
      <c r="D12" s="22"/>
    </row>
    <row r="13" spans="1:7" s="21" customFormat="1" ht="12.95" customHeight="1" x14ac:dyDescent="0.2">
      <c r="A13" s="21" t="s">
        <v>18</v>
      </c>
      <c r="C13" s="22" t="s">
        <v>13</v>
      </c>
      <c r="D13" s="27" t="s">
        <v>37</v>
      </c>
      <c r="E13" s="29">
        <v>1</v>
      </c>
    </row>
    <row r="14" spans="1:7" s="21" customFormat="1" ht="12.95" customHeight="1" x14ac:dyDescent="0.2">
      <c r="D14" s="27" t="s">
        <v>30</v>
      </c>
      <c r="E14" s="33">
        <f ca="1">NOW()+15018.5+$C$9/24</f>
        <v>60368.717278703698</v>
      </c>
    </row>
    <row r="15" spans="1:7" s="21" customFormat="1" ht="12.95" customHeight="1" x14ac:dyDescent="0.2">
      <c r="A15" s="34" t="s">
        <v>17</v>
      </c>
      <c r="C15" s="35">
        <f ca="1">(C7+C11)+(C8+C12)*INT(MAX(F21:F3532))</f>
        <v>48088.433551578994</v>
      </c>
      <c r="D15" s="27" t="s">
        <v>38</v>
      </c>
      <c r="E15" s="33">
        <f ca="1">ROUND(2*(E14-$C$7)/$C$8,0)/2+E13</f>
        <v>3831</v>
      </c>
    </row>
    <row r="16" spans="1:7" s="21" customFormat="1" ht="12.95" customHeight="1" x14ac:dyDescent="0.2">
      <c r="A16" s="23" t="s">
        <v>4</v>
      </c>
      <c r="C16" s="36">
        <f ca="1">+C8+C12</f>
        <v>5.6881966386704121</v>
      </c>
      <c r="D16" s="27" t="s">
        <v>31</v>
      </c>
      <c r="E16" s="31">
        <f ca="1">ROUND(2*(E14-$C$15)/$C$16,0)/2+E13</f>
        <v>2160</v>
      </c>
    </row>
    <row r="17" spans="1:18" s="21" customFormat="1" ht="12.95" customHeight="1" thickBot="1" x14ac:dyDescent="0.25">
      <c r="A17" s="27" t="s">
        <v>27</v>
      </c>
      <c r="C17" s="21">
        <f>COUNT(C21:C2190)</f>
        <v>11</v>
      </c>
      <c r="D17" s="27" t="s">
        <v>32</v>
      </c>
      <c r="E17" s="37">
        <f ca="1">+$C$15+$C$16*E16-15018.5-$C$9/24</f>
        <v>45356.834124440422</v>
      </c>
    </row>
    <row r="18" spans="1:18" s="21" customFormat="1" ht="12.95" customHeight="1" thickTop="1" thickBot="1" x14ac:dyDescent="0.25">
      <c r="A18" s="23" t="s">
        <v>5</v>
      </c>
      <c r="C18" s="38">
        <f ca="1">+C15</f>
        <v>48088.433551578994</v>
      </c>
      <c r="D18" s="39">
        <f ca="1">+C16</f>
        <v>5.6881966386704121</v>
      </c>
      <c r="E18" s="40" t="s">
        <v>33</v>
      </c>
    </row>
    <row r="19" spans="1:18" s="21" customFormat="1" ht="12.95" customHeight="1" thickTop="1" x14ac:dyDescent="0.2">
      <c r="A19" s="5" t="s">
        <v>34</v>
      </c>
      <c r="E19" s="41">
        <v>21</v>
      </c>
    </row>
    <row r="20" spans="1:18" s="21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2" t="s">
        <v>35</v>
      </c>
      <c r="I20" s="42" t="s">
        <v>47</v>
      </c>
      <c r="J20" s="42" t="s">
        <v>50</v>
      </c>
      <c r="K20" s="42" t="s">
        <v>91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0" t="s">
        <v>14</v>
      </c>
      <c r="R20" s="44" t="s">
        <v>36</v>
      </c>
    </row>
    <row r="21" spans="1:18" s="21" customFormat="1" ht="12.95" customHeight="1" x14ac:dyDescent="0.2">
      <c r="A21" s="27" t="s">
        <v>39</v>
      </c>
      <c r="C21" s="45">
        <v>38583.449999999997</v>
      </c>
      <c r="D21" s="45" t="s">
        <v>13</v>
      </c>
      <c r="E21" s="21">
        <f t="shared" ref="E21:E31" si="0">+(C21-C$7)/C$8</f>
        <v>0</v>
      </c>
      <c r="F21" s="21">
        <f t="shared" ref="F21:F31" si="1">ROUND(2*E21,0)/2</f>
        <v>0</v>
      </c>
      <c r="G21" s="21">
        <f t="shared" ref="G21:G31" si="2">+C21-(C$7+F21*C$8)</f>
        <v>0</v>
      </c>
      <c r="H21" s="21">
        <f>+G21</f>
        <v>0</v>
      </c>
      <c r="O21" s="21">
        <f t="shared" ref="O21:O31" ca="1" si="3">+C$11+C$12*$F21</f>
        <v>6.968360736999659E-3</v>
      </c>
      <c r="Q21" s="46">
        <f t="shared" ref="Q21:Q31" si="4">+C21-15018.5</f>
        <v>23564.949999999997</v>
      </c>
    </row>
    <row r="22" spans="1:18" s="21" customFormat="1" ht="12.95" customHeight="1" x14ac:dyDescent="0.2">
      <c r="A22" s="47" t="s">
        <v>63</v>
      </c>
      <c r="B22" s="48" t="s">
        <v>46</v>
      </c>
      <c r="C22" s="49">
        <v>38583.446000000004</v>
      </c>
      <c r="D22" s="45"/>
      <c r="E22" s="21">
        <f t="shared" si="0"/>
        <v>-7.0321077134995365E-4</v>
      </c>
      <c r="F22" s="21">
        <f t="shared" si="1"/>
        <v>0</v>
      </c>
      <c r="G22" s="21">
        <f t="shared" si="2"/>
        <v>-3.9999999935389496E-3</v>
      </c>
      <c r="K22" s="21">
        <f>+G22</f>
        <v>-3.9999999935389496E-3</v>
      </c>
      <c r="O22" s="21">
        <f t="shared" ca="1" si="3"/>
        <v>6.968360736999659E-3</v>
      </c>
      <c r="Q22" s="46">
        <f t="shared" si="4"/>
        <v>23564.946000000004</v>
      </c>
    </row>
    <row r="23" spans="1:18" s="21" customFormat="1" ht="12.95" customHeight="1" x14ac:dyDescent="0.2">
      <c r="A23" s="6" t="s">
        <v>45</v>
      </c>
      <c r="B23" s="7" t="s">
        <v>46</v>
      </c>
      <c r="C23" s="6">
        <v>38640.336000000003</v>
      </c>
      <c r="D23" s="6" t="s">
        <v>47</v>
      </c>
      <c r="E23" s="21">
        <f t="shared" si="0"/>
        <v>10.000712000908175</v>
      </c>
      <c r="F23" s="21">
        <f t="shared" si="1"/>
        <v>10</v>
      </c>
      <c r="G23" s="21">
        <f t="shared" si="2"/>
        <v>4.0500000031897798E-3</v>
      </c>
      <c r="I23" s="21">
        <f t="shared" ref="I23:I31" si="5">+G23</f>
        <v>4.0500000031897798E-3</v>
      </c>
      <c r="O23" s="21">
        <f t="shared" ca="1" si="3"/>
        <v>6.9847474411167329E-3</v>
      </c>
      <c r="Q23" s="46">
        <f t="shared" si="4"/>
        <v>23621.836000000003</v>
      </c>
    </row>
    <row r="24" spans="1:18" s="21" customFormat="1" ht="12.95" customHeight="1" x14ac:dyDescent="0.2">
      <c r="A24" s="6" t="s">
        <v>45</v>
      </c>
      <c r="B24" s="7" t="s">
        <v>46</v>
      </c>
      <c r="C24" s="6">
        <v>38856.523000000001</v>
      </c>
      <c r="D24" s="6" t="s">
        <v>47</v>
      </c>
      <c r="E24" s="21">
        <f t="shared" si="0"/>
        <v>48.006968818756029</v>
      </c>
      <c r="F24" s="21">
        <f t="shared" si="1"/>
        <v>48</v>
      </c>
      <c r="G24" s="21">
        <f t="shared" si="2"/>
        <v>3.9640000002691522E-2</v>
      </c>
      <c r="I24" s="21">
        <f t="shared" si="5"/>
        <v>3.9640000002691522E-2</v>
      </c>
      <c r="O24" s="21">
        <f t="shared" ca="1" si="3"/>
        <v>7.0470169167616125E-3</v>
      </c>
      <c r="Q24" s="46">
        <f t="shared" si="4"/>
        <v>23838.023000000001</v>
      </c>
    </row>
    <row r="25" spans="1:18" s="21" customFormat="1" ht="12.95" customHeight="1" x14ac:dyDescent="0.2">
      <c r="A25" s="6" t="s">
        <v>45</v>
      </c>
      <c r="B25" s="7" t="s">
        <v>46</v>
      </c>
      <c r="C25" s="6">
        <v>44402.421999999999</v>
      </c>
      <c r="D25" s="6" t="s">
        <v>47</v>
      </c>
      <c r="E25" s="21">
        <f t="shared" si="0"/>
        <v>1022.9909487983449</v>
      </c>
      <c r="F25" s="21">
        <f t="shared" si="1"/>
        <v>1023</v>
      </c>
      <c r="G25" s="21">
        <f t="shared" si="2"/>
        <v>-5.1484999996318948E-2</v>
      </c>
      <c r="I25" s="21">
        <f t="shared" si="5"/>
        <v>-5.1484999996318948E-2</v>
      </c>
      <c r="O25" s="21">
        <f t="shared" ca="1" si="3"/>
        <v>8.6447205681762854E-3</v>
      </c>
      <c r="Q25" s="46">
        <f t="shared" si="4"/>
        <v>29383.921999999999</v>
      </c>
    </row>
    <row r="26" spans="1:18" s="21" customFormat="1" ht="12.95" customHeight="1" x14ac:dyDescent="0.2">
      <c r="A26" s="6" t="s">
        <v>45</v>
      </c>
      <c r="B26" s="7" t="s">
        <v>46</v>
      </c>
      <c r="C26" s="6">
        <v>44732.466</v>
      </c>
      <c r="D26" s="6" t="s">
        <v>47</v>
      </c>
      <c r="E26" s="21">
        <f t="shared" si="0"/>
        <v>1081.0135728469229</v>
      </c>
      <c r="F26" s="21">
        <f t="shared" si="1"/>
        <v>1081</v>
      </c>
      <c r="G26" s="21">
        <f t="shared" si="2"/>
        <v>7.7205000001413282E-2</v>
      </c>
      <c r="I26" s="21">
        <f t="shared" si="5"/>
        <v>7.7205000001413282E-2</v>
      </c>
      <c r="O26" s="21">
        <f t="shared" ca="1" si="3"/>
        <v>8.7397634520553127E-3</v>
      </c>
      <c r="Q26" s="46">
        <f t="shared" si="4"/>
        <v>29713.966</v>
      </c>
    </row>
    <row r="27" spans="1:18" s="21" customFormat="1" ht="12.95" customHeight="1" x14ac:dyDescent="0.2">
      <c r="A27" s="6" t="s">
        <v>45</v>
      </c>
      <c r="B27" s="7" t="s">
        <v>46</v>
      </c>
      <c r="C27" s="6">
        <v>44749.43</v>
      </c>
      <c r="D27" s="6" t="s">
        <v>47</v>
      </c>
      <c r="E27" s="21">
        <f t="shared" si="0"/>
        <v>1083.9958897330353</v>
      </c>
      <c r="F27" s="21">
        <f t="shared" si="1"/>
        <v>1084</v>
      </c>
      <c r="G27" s="21">
        <f t="shared" si="2"/>
        <v>-2.3379999998724088E-2</v>
      </c>
      <c r="I27" s="21">
        <f t="shared" si="5"/>
        <v>-2.3379999998724088E-2</v>
      </c>
      <c r="O27" s="21">
        <f t="shared" ca="1" si="3"/>
        <v>8.7446794632904338E-3</v>
      </c>
      <c r="Q27" s="46">
        <f t="shared" si="4"/>
        <v>29730.93</v>
      </c>
    </row>
    <row r="28" spans="1:18" s="21" customFormat="1" ht="12.95" customHeight="1" x14ac:dyDescent="0.2">
      <c r="A28" s="6" t="s">
        <v>45</v>
      </c>
      <c r="B28" s="7" t="s">
        <v>46</v>
      </c>
      <c r="C28" s="6">
        <v>45056.58</v>
      </c>
      <c r="D28" s="6" t="s">
        <v>47</v>
      </c>
      <c r="E28" s="21">
        <f t="shared" si="0"/>
        <v>1137.9936869252908</v>
      </c>
      <c r="F28" s="21">
        <f t="shared" si="1"/>
        <v>1138</v>
      </c>
      <c r="G28" s="21">
        <f t="shared" si="2"/>
        <v>-3.590999999869382E-2</v>
      </c>
      <c r="I28" s="21">
        <f t="shared" si="5"/>
        <v>-3.590999999869382E-2</v>
      </c>
      <c r="O28" s="21">
        <f t="shared" ca="1" si="3"/>
        <v>8.8331676655226312E-3</v>
      </c>
      <c r="Q28" s="46">
        <f t="shared" si="4"/>
        <v>30038.080000000002</v>
      </c>
    </row>
    <row r="29" spans="1:18" s="21" customFormat="1" ht="12.95" customHeight="1" x14ac:dyDescent="0.2">
      <c r="A29" s="6" t="s">
        <v>45</v>
      </c>
      <c r="B29" s="7" t="s">
        <v>46</v>
      </c>
      <c r="C29" s="6">
        <v>46592.474000000002</v>
      </c>
      <c r="D29" s="6" t="s">
        <v>47</v>
      </c>
      <c r="E29" s="21">
        <f t="shared" si="0"/>
        <v>1408.0079884743761</v>
      </c>
      <c r="F29" s="21">
        <f t="shared" si="1"/>
        <v>1408</v>
      </c>
      <c r="G29" s="21">
        <f t="shared" si="2"/>
        <v>4.544000000169035E-2</v>
      </c>
      <c r="I29" s="21">
        <f t="shared" si="5"/>
        <v>4.544000000169035E-2</v>
      </c>
      <c r="O29" s="21">
        <f t="shared" ca="1" si="3"/>
        <v>9.2756086766836183E-3</v>
      </c>
      <c r="Q29" s="46">
        <f t="shared" si="4"/>
        <v>31573.974000000002</v>
      </c>
    </row>
    <row r="30" spans="1:18" s="21" customFormat="1" ht="12.95" customHeight="1" x14ac:dyDescent="0.2">
      <c r="A30" s="6" t="s">
        <v>45</v>
      </c>
      <c r="B30" s="7" t="s">
        <v>46</v>
      </c>
      <c r="C30" s="6">
        <v>46649.374000000003</v>
      </c>
      <c r="D30" s="6" t="s">
        <v>47</v>
      </c>
      <c r="E30" s="21">
        <f t="shared" si="0"/>
        <v>1418.0111617129874</v>
      </c>
      <c r="F30" s="21">
        <f t="shared" si="1"/>
        <v>1418</v>
      </c>
      <c r="G30" s="21">
        <f t="shared" si="2"/>
        <v>6.3490000007732306E-2</v>
      </c>
      <c r="I30" s="21">
        <f t="shared" si="5"/>
        <v>6.3490000007732306E-2</v>
      </c>
      <c r="O30" s="21">
        <f t="shared" ca="1" si="3"/>
        <v>9.2919953808006921E-3</v>
      </c>
      <c r="Q30" s="46">
        <f t="shared" si="4"/>
        <v>31630.874000000003</v>
      </c>
    </row>
    <row r="31" spans="1:18" s="21" customFormat="1" ht="12.95" customHeight="1" x14ac:dyDescent="0.2">
      <c r="A31" s="6" t="s">
        <v>45</v>
      </c>
      <c r="B31" s="7" t="s">
        <v>46</v>
      </c>
      <c r="C31" s="6">
        <v>48088.4</v>
      </c>
      <c r="D31" s="6" t="s">
        <v>47</v>
      </c>
      <c r="E31" s="21">
        <f t="shared" si="0"/>
        <v>1670.9958079847831</v>
      </c>
      <c r="F31" s="21">
        <f t="shared" si="1"/>
        <v>1671</v>
      </c>
      <c r="G31" s="21">
        <f t="shared" si="2"/>
        <v>-2.3844999996072147E-2</v>
      </c>
      <c r="I31" s="21">
        <f t="shared" si="5"/>
        <v>-2.3844999996072147E-2</v>
      </c>
      <c r="O31" s="21">
        <f t="shared" ca="1" si="3"/>
        <v>9.7065789949626526E-3</v>
      </c>
      <c r="Q31" s="46">
        <f t="shared" si="4"/>
        <v>33069.9</v>
      </c>
    </row>
    <row r="32" spans="1:18" s="21" customFormat="1" ht="12.95" customHeight="1" x14ac:dyDescent="0.2">
      <c r="C32" s="45"/>
      <c r="D32" s="45"/>
      <c r="Q32" s="46"/>
    </row>
    <row r="33" spans="3:4" s="21" customFormat="1" ht="12.95" customHeight="1" x14ac:dyDescent="0.2">
      <c r="C33" s="45"/>
      <c r="D33" s="45"/>
    </row>
    <row r="34" spans="3:4" s="21" customFormat="1" ht="12.95" customHeight="1" x14ac:dyDescent="0.2">
      <c r="C34" s="45"/>
      <c r="D34" s="45"/>
    </row>
    <row r="35" spans="3:4" s="21" customFormat="1" ht="12.95" customHeight="1" x14ac:dyDescent="0.2">
      <c r="C35" s="45"/>
      <c r="D35" s="45"/>
    </row>
    <row r="36" spans="3:4" s="21" customFormat="1" ht="12.95" customHeight="1" x14ac:dyDescent="0.2">
      <c r="C36" s="45"/>
      <c r="D36" s="45"/>
    </row>
    <row r="37" spans="3:4" s="21" customFormat="1" ht="12.95" customHeight="1" x14ac:dyDescent="0.2">
      <c r="C37" s="45"/>
      <c r="D37" s="45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6"/>
  <sheetViews>
    <sheetView workbookViewId="0">
      <selection activeCell="A20" sqref="A20:C20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47</v>
      </c>
    </row>
    <row r="4" spans="1:16" x14ac:dyDescent="0.2">
      <c r="I4" s="11" t="s">
        <v>55</v>
      </c>
      <c r="J4" s="12" t="s">
        <v>47</v>
      </c>
    </row>
    <row r="5" spans="1:16" ht="13.5" thickBot="1" x14ac:dyDescent="0.25">
      <c r="I5" s="14" t="s">
        <v>56</v>
      </c>
      <c r="J5" s="15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20" si="0">P11</f>
        <v>IBVS 5350 </v>
      </c>
      <c r="B11" s="2" t="str">
        <f t="shared" ref="B11:B20" si="1">IF(H11=INT(H11),"I","II")</f>
        <v>I</v>
      </c>
      <c r="C11" s="3">
        <f t="shared" ref="C11:C20" si="2">1*G11</f>
        <v>38640.336000000003</v>
      </c>
      <c r="D11" s="4" t="str">
        <f t="shared" ref="D11:D20" si="3">VLOOKUP(F11,I$1:J$5,2,FALSE)</f>
        <v>vis</v>
      </c>
      <c r="E11" s="16">
        <f>VLOOKUP(C11,Active!C$21:E$973,3,FALSE)</f>
        <v>10.000712000908175</v>
      </c>
      <c r="F11" s="2" t="s">
        <v>56</v>
      </c>
      <c r="G11" s="4" t="str">
        <f t="shared" ref="G11:G20" si="4">MID(I11,3,LEN(I11)-3)</f>
        <v>38640.336</v>
      </c>
      <c r="H11" s="3">
        <f t="shared" ref="H11:H20" si="5">1*K11</f>
        <v>57</v>
      </c>
      <c r="I11" s="17" t="s">
        <v>64</v>
      </c>
      <c r="J11" s="18" t="s">
        <v>65</v>
      </c>
      <c r="K11" s="17">
        <v>57</v>
      </c>
      <c r="L11" s="17" t="s">
        <v>66</v>
      </c>
      <c r="M11" s="18" t="s">
        <v>61</v>
      </c>
      <c r="N11" s="18"/>
      <c r="O11" s="19" t="s">
        <v>62</v>
      </c>
      <c r="P11" s="20" t="s">
        <v>63</v>
      </c>
    </row>
    <row r="12" spans="1:16" ht="12.75" customHeight="1" thickBot="1" x14ac:dyDescent="0.25">
      <c r="A12" s="3" t="str">
        <f t="shared" si="0"/>
        <v>IBVS 5350 </v>
      </c>
      <c r="B12" s="2" t="str">
        <f t="shared" si="1"/>
        <v>I</v>
      </c>
      <c r="C12" s="3">
        <f t="shared" si="2"/>
        <v>38856.523000000001</v>
      </c>
      <c r="D12" s="4" t="str">
        <f t="shared" si="3"/>
        <v>vis</v>
      </c>
      <c r="E12" s="16">
        <f>VLOOKUP(C12,Active!C$21:E$973,3,FALSE)</f>
        <v>48.006968818756029</v>
      </c>
      <c r="F12" s="2" t="s">
        <v>56</v>
      </c>
      <c r="G12" s="4" t="str">
        <f t="shared" si="4"/>
        <v>38856.523</v>
      </c>
      <c r="H12" s="3">
        <f t="shared" si="5"/>
        <v>273</v>
      </c>
      <c r="I12" s="17" t="s">
        <v>67</v>
      </c>
      <c r="J12" s="18" t="s">
        <v>68</v>
      </c>
      <c r="K12" s="17">
        <v>273</v>
      </c>
      <c r="L12" s="17" t="s">
        <v>69</v>
      </c>
      <c r="M12" s="18" t="s">
        <v>61</v>
      </c>
      <c r="N12" s="18"/>
      <c r="O12" s="19" t="s">
        <v>62</v>
      </c>
      <c r="P12" s="20" t="s">
        <v>63</v>
      </c>
    </row>
    <row r="13" spans="1:16" ht="12.75" customHeight="1" thickBot="1" x14ac:dyDescent="0.25">
      <c r="A13" s="3" t="str">
        <f t="shared" si="0"/>
        <v>IBVS 5350 </v>
      </c>
      <c r="B13" s="2" t="str">
        <f t="shared" si="1"/>
        <v>II</v>
      </c>
      <c r="C13" s="3">
        <f t="shared" si="2"/>
        <v>44402.421999999999</v>
      </c>
      <c r="D13" s="4" t="str">
        <f t="shared" si="3"/>
        <v>vis</v>
      </c>
      <c r="E13" s="16">
        <f>VLOOKUP(C13,Active!C$21:E$973,3,FALSE)</f>
        <v>1022.9909487983449</v>
      </c>
      <c r="F13" s="2" t="s">
        <v>56</v>
      </c>
      <c r="G13" s="4" t="str">
        <f t="shared" si="4"/>
        <v>44402.422</v>
      </c>
      <c r="H13" s="3">
        <f t="shared" si="5"/>
        <v>5817.5</v>
      </c>
      <c r="I13" s="17" t="s">
        <v>70</v>
      </c>
      <c r="J13" s="18" t="s">
        <v>71</v>
      </c>
      <c r="K13" s="17">
        <v>5817.5</v>
      </c>
      <c r="L13" s="17" t="s">
        <v>72</v>
      </c>
      <c r="M13" s="18" t="s">
        <v>61</v>
      </c>
      <c r="N13" s="18"/>
      <c r="O13" s="19" t="s">
        <v>62</v>
      </c>
      <c r="P13" s="20" t="s">
        <v>63</v>
      </c>
    </row>
    <row r="14" spans="1:16" ht="12.75" customHeight="1" thickBot="1" x14ac:dyDescent="0.25">
      <c r="A14" s="3" t="str">
        <f t="shared" si="0"/>
        <v>IBVS 5350 </v>
      </c>
      <c r="B14" s="2" t="str">
        <f t="shared" si="1"/>
        <v>II</v>
      </c>
      <c r="C14" s="3">
        <f t="shared" si="2"/>
        <v>44732.466</v>
      </c>
      <c r="D14" s="4" t="str">
        <f t="shared" si="3"/>
        <v>vis</v>
      </c>
      <c r="E14" s="16">
        <f>VLOOKUP(C14,Active!C$21:E$973,3,FALSE)</f>
        <v>1081.0135728469229</v>
      </c>
      <c r="F14" s="2" t="s">
        <v>56</v>
      </c>
      <c r="G14" s="4" t="str">
        <f t="shared" si="4"/>
        <v>44732.466</v>
      </c>
      <c r="H14" s="3">
        <f t="shared" si="5"/>
        <v>6147.5</v>
      </c>
      <c r="I14" s="17" t="s">
        <v>73</v>
      </c>
      <c r="J14" s="18" t="s">
        <v>74</v>
      </c>
      <c r="K14" s="17">
        <v>6147.5</v>
      </c>
      <c r="L14" s="17" t="s">
        <v>75</v>
      </c>
      <c r="M14" s="18" t="s">
        <v>61</v>
      </c>
      <c r="N14" s="18"/>
      <c r="O14" s="19" t="s">
        <v>62</v>
      </c>
      <c r="P14" s="20" t="s">
        <v>63</v>
      </c>
    </row>
    <row r="15" spans="1:16" ht="12.75" customHeight="1" thickBot="1" x14ac:dyDescent="0.25">
      <c r="A15" s="3" t="str">
        <f t="shared" si="0"/>
        <v>IBVS 5350 </v>
      </c>
      <c r="B15" s="2" t="str">
        <f t="shared" si="1"/>
        <v>II</v>
      </c>
      <c r="C15" s="3">
        <f t="shared" si="2"/>
        <v>44749.43</v>
      </c>
      <c r="D15" s="4" t="str">
        <f t="shared" si="3"/>
        <v>vis</v>
      </c>
      <c r="E15" s="16">
        <f>VLOOKUP(C15,Active!C$21:E$973,3,FALSE)</f>
        <v>1083.9958897330353</v>
      </c>
      <c r="F15" s="2" t="s">
        <v>56</v>
      </c>
      <c r="G15" s="4" t="str">
        <f t="shared" si="4"/>
        <v>44749.430</v>
      </c>
      <c r="H15" s="3">
        <f t="shared" si="5"/>
        <v>6164.5</v>
      </c>
      <c r="I15" s="17" t="s">
        <v>76</v>
      </c>
      <c r="J15" s="18" t="s">
        <v>77</v>
      </c>
      <c r="K15" s="17">
        <v>6164.5</v>
      </c>
      <c r="L15" s="17" t="s">
        <v>78</v>
      </c>
      <c r="M15" s="18" t="s">
        <v>61</v>
      </c>
      <c r="N15" s="18"/>
      <c r="O15" s="19" t="s">
        <v>62</v>
      </c>
      <c r="P15" s="20" t="s">
        <v>63</v>
      </c>
    </row>
    <row r="16" spans="1:16" ht="12.75" customHeight="1" thickBot="1" x14ac:dyDescent="0.25">
      <c r="A16" s="3" t="str">
        <f t="shared" si="0"/>
        <v>IBVS 5350 </v>
      </c>
      <c r="B16" s="2" t="str">
        <f t="shared" si="1"/>
        <v>II</v>
      </c>
      <c r="C16" s="3">
        <f t="shared" si="2"/>
        <v>45056.58</v>
      </c>
      <c r="D16" s="4" t="str">
        <f t="shared" si="3"/>
        <v>vis</v>
      </c>
      <c r="E16" s="16">
        <f>VLOOKUP(C16,Active!C$21:E$973,3,FALSE)</f>
        <v>1137.9936869252908</v>
      </c>
      <c r="F16" s="2" t="s">
        <v>56</v>
      </c>
      <c r="G16" s="4" t="str">
        <f t="shared" si="4"/>
        <v>45056.580</v>
      </c>
      <c r="H16" s="3">
        <f t="shared" si="5"/>
        <v>6471.5</v>
      </c>
      <c r="I16" s="17" t="s">
        <v>79</v>
      </c>
      <c r="J16" s="18" t="s">
        <v>80</v>
      </c>
      <c r="K16" s="17">
        <v>6471.5</v>
      </c>
      <c r="L16" s="17" t="s">
        <v>81</v>
      </c>
      <c r="M16" s="18" t="s">
        <v>61</v>
      </c>
      <c r="N16" s="18"/>
      <c r="O16" s="19" t="s">
        <v>62</v>
      </c>
      <c r="P16" s="20" t="s">
        <v>63</v>
      </c>
    </row>
    <row r="17" spans="1:16" ht="12.75" customHeight="1" thickBot="1" x14ac:dyDescent="0.25">
      <c r="A17" s="3" t="str">
        <f t="shared" si="0"/>
        <v>IBVS 5350 </v>
      </c>
      <c r="B17" s="2" t="str">
        <f t="shared" si="1"/>
        <v>II</v>
      </c>
      <c r="C17" s="3">
        <f t="shared" si="2"/>
        <v>46592.474000000002</v>
      </c>
      <c r="D17" s="4" t="str">
        <f t="shared" si="3"/>
        <v>vis</v>
      </c>
      <c r="E17" s="16">
        <f>VLOOKUP(C17,Active!C$21:E$973,3,FALSE)</f>
        <v>1408.0079884743761</v>
      </c>
      <c r="F17" s="2" t="s">
        <v>56</v>
      </c>
      <c r="G17" s="4" t="str">
        <f t="shared" si="4"/>
        <v>46592.474</v>
      </c>
      <c r="H17" s="3">
        <f t="shared" si="5"/>
        <v>8007.5</v>
      </c>
      <c r="I17" s="17" t="s">
        <v>82</v>
      </c>
      <c r="J17" s="18" t="s">
        <v>83</v>
      </c>
      <c r="K17" s="17">
        <v>8007.5</v>
      </c>
      <c r="L17" s="17" t="s">
        <v>84</v>
      </c>
      <c r="M17" s="18" t="s">
        <v>61</v>
      </c>
      <c r="N17" s="18"/>
      <c r="O17" s="19" t="s">
        <v>62</v>
      </c>
      <c r="P17" s="20" t="s">
        <v>63</v>
      </c>
    </row>
    <row r="18" spans="1:16" ht="12.75" customHeight="1" thickBot="1" x14ac:dyDescent="0.25">
      <c r="A18" s="3" t="str">
        <f t="shared" si="0"/>
        <v>IBVS 5350 </v>
      </c>
      <c r="B18" s="2" t="str">
        <f t="shared" si="1"/>
        <v>II</v>
      </c>
      <c r="C18" s="3">
        <f t="shared" si="2"/>
        <v>46649.374000000003</v>
      </c>
      <c r="D18" s="4" t="str">
        <f t="shared" si="3"/>
        <v>vis</v>
      </c>
      <c r="E18" s="16">
        <f>VLOOKUP(C18,Active!C$21:E$973,3,FALSE)</f>
        <v>1418.0111617129874</v>
      </c>
      <c r="F18" s="2" t="s">
        <v>56</v>
      </c>
      <c r="G18" s="4" t="str">
        <f t="shared" si="4"/>
        <v>46649.374</v>
      </c>
      <c r="H18" s="3">
        <f t="shared" si="5"/>
        <v>8064.5</v>
      </c>
      <c r="I18" s="17" t="s">
        <v>85</v>
      </c>
      <c r="J18" s="18" t="s">
        <v>86</v>
      </c>
      <c r="K18" s="17">
        <v>8064.5</v>
      </c>
      <c r="L18" s="17" t="s">
        <v>87</v>
      </c>
      <c r="M18" s="18" t="s">
        <v>61</v>
      </c>
      <c r="N18" s="18"/>
      <c r="O18" s="19" t="s">
        <v>62</v>
      </c>
      <c r="P18" s="20" t="s">
        <v>63</v>
      </c>
    </row>
    <row r="19" spans="1:16" ht="12.75" customHeight="1" thickBot="1" x14ac:dyDescent="0.25">
      <c r="A19" s="3" t="str">
        <f t="shared" si="0"/>
        <v>IBVS 5350 </v>
      </c>
      <c r="B19" s="2" t="str">
        <f t="shared" si="1"/>
        <v>II</v>
      </c>
      <c r="C19" s="3">
        <f t="shared" si="2"/>
        <v>48088.4</v>
      </c>
      <c r="D19" s="4" t="str">
        <f t="shared" si="3"/>
        <v>vis</v>
      </c>
      <c r="E19" s="16">
        <f>VLOOKUP(C19,Active!C$21:E$973,3,FALSE)</f>
        <v>1670.9958079847831</v>
      </c>
      <c r="F19" s="2" t="s">
        <v>56</v>
      </c>
      <c r="G19" s="4" t="str">
        <f t="shared" si="4"/>
        <v>48088.400</v>
      </c>
      <c r="H19" s="3">
        <f t="shared" si="5"/>
        <v>9503.5</v>
      </c>
      <c r="I19" s="17" t="s">
        <v>88</v>
      </c>
      <c r="J19" s="18" t="s">
        <v>89</v>
      </c>
      <c r="K19" s="17">
        <v>9503.5</v>
      </c>
      <c r="L19" s="17" t="s">
        <v>90</v>
      </c>
      <c r="M19" s="18" t="s">
        <v>61</v>
      </c>
      <c r="N19" s="18"/>
      <c r="O19" s="19" t="s">
        <v>62</v>
      </c>
      <c r="P19" s="20" t="s">
        <v>63</v>
      </c>
    </row>
    <row r="20" spans="1:16" ht="12.75" customHeight="1" thickBot="1" x14ac:dyDescent="0.25">
      <c r="A20" s="3" t="str">
        <f t="shared" si="0"/>
        <v>IBVS 5350 </v>
      </c>
      <c r="B20" s="2" t="str">
        <f t="shared" si="1"/>
        <v>I</v>
      </c>
      <c r="C20" s="3">
        <f t="shared" si="2"/>
        <v>38583.446000000004</v>
      </c>
      <c r="D20" s="4" t="str">
        <f t="shared" si="3"/>
        <v>vis</v>
      </c>
      <c r="E20" s="16">
        <f>VLOOKUP(C20,Active!C$21:E$973,3,FALSE)</f>
        <v>-7.0321077134995365E-4</v>
      </c>
      <c r="F20" s="2" t="s">
        <v>56</v>
      </c>
      <c r="G20" s="4" t="str">
        <f t="shared" si="4"/>
        <v>38583.446</v>
      </c>
      <c r="H20" s="3">
        <f t="shared" si="5"/>
        <v>0</v>
      </c>
      <c r="I20" s="17" t="s">
        <v>58</v>
      </c>
      <c r="J20" s="18" t="s">
        <v>59</v>
      </c>
      <c r="K20" s="17">
        <v>0</v>
      </c>
      <c r="L20" s="17" t="s">
        <v>60</v>
      </c>
      <c r="M20" s="18" t="s">
        <v>61</v>
      </c>
      <c r="N20" s="18"/>
      <c r="O20" s="19" t="s">
        <v>62</v>
      </c>
      <c r="P20" s="20" t="s">
        <v>63</v>
      </c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</sheetData>
  <phoneticPr fontId="7" type="noConversion"/>
  <hyperlinks>
    <hyperlink ref="P20" r:id="rId1" display="http://www.konkoly.hu/cgi-bin/IBVS?5350"/>
    <hyperlink ref="P11" r:id="rId2" display="http://www.konkoly.hu/cgi-bin/IBVS?5350"/>
    <hyperlink ref="P12" r:id="rId3" display="http://www.konkoly.hu/cgi-bin/IBVS?5350"/>
    <hyperlink ref="P13" r:id="rId4" display="http://www.konkoly.hu/cgi-bin/IBVS?5350"/>
    <hyperlink ref="P14" r:id="rId5" display="http://www.konkoly.hu/cgi-bin/IBVS?5350"/>
    <hyperlink ref="P15" r:id="rId6" display="http://www.konkoly.hu/cgi-bin/IBVS?5350"/>
    <hyperlink ref="P16" r:id="rId7" display="http://www.konkoly.hu/cgi-bin/IBVS?5350"/>
    <hyperlink ref="P17" r:id="rId8" display="http://www.konkoly.hu/cgi-bin/IBVS?5350"/>
    <hyperlink ref="P18" r:id="rId9" display="http://www.konkoly.hu/cgi-bin/IBVS?5350"/>
    <hyperlink ref="P19" r:id="rId10" display="http://www.konkoly.hu/cgi-bin/IBVS?535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2024-02-28T04:12:52Z</dcterms:modified>
</cp:coreProperties>
</file>