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977CC8-2F54-439D-9AA0-866EAB8F9FA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G21" i="1"/>
  <c r="K21" i="1"/>
  <c r="E22" i="1"/>
  <c r="F22" i="1"/>
  <c r="G22" i="1"/>
  <c r="K22" i="1"/>
  <c r="E23" i="1"/>
  <c r="F23" i="1"/>
  <c r="G23" i="1"/>
  <c r="K23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G11" i="1"/>
  <c r="F11" i="1"/>
  <c r="E24" i="1"/>
  <c r="F24" i="1"/>
  <c r="G24" i="1"/>
  <c r="H24" i="1"/>
  <c r="E25" i="1"/>
  <c r="F25" i="1"/>
  <c r="G25" i="1"/>
  <c r="I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5" i="1"/>
  <c r="F35" i="1"/>
  <c r="G35" i="1"/>
  <c r="J35" i="1"/>
  <c r="E36" i="1"/>
  <c r="F36" i="1"/>
  <c r="G36" i="1"/>
  <c r="J36" i="1"/>
  <c r="E37" i="1"/>
  <c r="F37" i="1"/>
  <c r="G37" i="1"/>
  <c r="J37" i="1"/>
  <c r="E38" i="1"/>
  <c r="F38" i="1"/>
  <c r="G38" i="1"/>
  <c r="J38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Q21" i="1"/>
  <c r="Q22" i="1"/>
  <c r="Q23" i="1"/>
  <c r="Q30" i="1"/>
  <c r="Q31" i="1"/>
  <c r="Q32" i="1"/>
  <c r="Q33" i="1"/>
  <c r="Q34" i="1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15" i="2"/>
  <c r="C15" i="2"/>
  <c r="E15" i="2"/>
  <c r="G14" i="2"/>
  <c r="C14" i="2"/>
  <c r="E14" i="2"/>
  <c r="G13" i="2"/>
  <c r="C13" i="2"/>
  <c r="E13" i="2"/>
  <c r="G12" i="2"/>
  <c r="C12" i="2"/>
  <c r="E12" i="2"/>
  <c r="G27" i="2"/>
  <c r="C27" i="2"/>
  <c r="E27" i="2"/>
  <c r="G11" i="2"/>
  <c r="C11" i="2"/>
  <c r="E11" i="2"/>
  <c r="G26" i="2"/>
  <c r="C26" i="2"/>
  <c r="E26" i="2"/>
  <c r="G25" i="2"/>
  <c r="C25" i="2"/>
  <c r="E25" i="2"/>
  <c r="G24" i="2"/>
  <c r="C24" i="2"/>
  <c r="E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27" i="2"/>
  <c r="B27" i="2"/>
  <c r="D27" i="2"/>
  <c r="A27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Q35" i="1"/>
  <c r="Q36" i="1"/>
  <c r="Q37" i="1"/>
  <c r="Q38" i="1"/>
  <c r="Q39" i="1"/>
  <c r="Q40" i="1"/>
  <c r="Q41" i="1"/>
  <c r="Q42" i="1"/>
  <c r="E14" i="1"/>
  <c r="C17" i="1"/>
  <c r="Q29" i="1"/>
  <c r="Q27" i="1"/>
  <c r="Q28" i="1"/>
  <c r="Q25" i="1"/>
  <c r="Q26" i="1"/>
  <c r="Q24" i="1"/>
  <c r="C11" i="1"/>
  <c r="C12" i="1"/>
  <c r="C16" i="1" l="1"/>
  <c r="D18" i="1" s="1"/>
  <c r="O30" i="1"/>
  <c r="O29" i="1"/>
  <c r="O32" i="1"/>
  <c r="O25" i="1"/>
  <c r="O31" i="1"/>
  <c r="O35" i="1"/>
  <c r="O38" i="1"/>
  <c r="C15" i="1"/>
  <c r="E16" i="1" s="1"/>
  <c r="O40" i="1"/>
  <c r="O39" i="1"/>
  <c r="O42" i="1"/>
  <c r="O28" i="1"/>
  <c r="O27" i="1"/>
  <c r="O26" i="1"/>
  <c r="O33" i="1"/>
  <c r="O41" i="1"/>
  <c r="O24" i="1"/>
  <c r="O22" i="1"/>
  <c r="O36" i="1"/>
  <c r="O21" i="1"/>
  <c r="O34" i="1"/>
  <c r="O37" i="1"/>
  <c r="O23" i="1"/>
  <c r="E15" i="1"/>
  <c r="C18" i="1" l="1"/>
  <c r="E17" i="1"/>
</calcChain>
</file>

<file path=xl/sharedStrings.xml><?xml version="1.0" encoding="utf-8"?>
<sst xmlns="http://schemas.openxmlformats.org/spreadsheetml/2006/main" count="272" uniqueCount="143">
  <si>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</si>
  <si>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</si>
  <si>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</si>
  <si>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</si>
  <si>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</si>
  <si>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</si>
  <si>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</si>
  <si>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</si>
  <si>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</si>
  <si>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</si>
  <si>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</si>
  <si>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</si>
  <si>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</si>
  <si>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</si>
  <si>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</si>
  <si>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</si>
  <si>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</si>
  <si>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</si>
  <si>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</si>
  <si>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</si>
  <si>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</si>
  <si>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</si>
  <si>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</si>
  <si>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</si>
  <si>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</si>
  <si>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</si>
  <si>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</si>
  <si>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</si>
  <si>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</si>
  <si>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</si>
  <si>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</si>
  <si>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</si>
  <si>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</si>
  <si>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</si>
  <si>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</si>
  <si>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</si>
  <si>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5027</t>
  </si>
  <si>
    <t>I</t>
  </si>
  <si>
    <t>IBVS 5438</t>
  </si>
  <si>
    <t>J.M. Kreiner, 2004, Acta Astronomica, vol. 54, pp 207-210.</t>
  </si>
  <si>
    <t>E</t>
  </si>
  <si>
    <t>V1125 Oph / GSC 0983-1883</t>
  </si>
  <si>
    <t>Kreimer</t>
  </si>
  <si>
    <t>IBVS 5713</t>
  </si>
  <si>
    <t>IBVS 5945</t>
  </si>
  <si>
    <t>Add cycle</t>
  </si>
  <si>
    <t>Old Cycle</t>
  </si>
  <si>
    <t>OEJV 0160</t>
  </si>
  <si>
    <t>II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</si>
  <si>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</si>
  <si>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</si>
  <si>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</si>
  <si>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</si>
  <si>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</si>
  <si>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</si>
  <si>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</si>
  <si>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</si>
  <si>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</si>
  <si>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</si>
  <si>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2438901.49 </t>
  </si>
  <si>
    <t> 20.05.1965 23:45 </t>
  </si>
  <si>
    <t> 0.53 </t>
  </si>
  <si>
    <t>P </t>
  </si>
  <si>
    <t> C.Hoffmeister </t>
  </si>
  <si>
    <t> AN 290.282 </t>
  </si>
  <si>
    <t>2439262.49 </t>
  </si>
  <si>
    <t> 16.05.1966 23:45 </t>
  </si>
  <si>
    <t> 0.51 </t>
  </si>
  <si>
    <t>2439263.46 </t>
  </si>
  <si>
    <t> 17.05.1966 23:02 </t>
  </si>
  <si>
    <t> 0.11 </t>
  </si>
  <si>
    <t>2451259.8922 </t>
  </si>
  <si>
    <t> 22.03.1999 09:24 </t>
  </si>
  <si>
    <t> 0.0221 </t>
  </si>
  <si>
    <t>E </t>
  </si>
  <si>
    <t>?</t>
  </si>
  <si>
    <t> R.Diethelm </t>
  </si>
  <si>
    <t>IBVS 5027 </t>
  </si>
  <si>
    <t>2451307.753 </t>
  </si>
  <si>
    <t> 09.05.1999 06:04 </t>
  </si>
  <si>
    <t> 0.021 </t>
  </si>
  <si>
    <t>2452717.627 </t>
  </si>
  <si>
    <t> 19.03.2003 03:02 </t>
  </si>
  <si>
    <t> 0.014 </t>
  </si>
  <si>
    <t> BBS 129 </t>
  </si>
  <si>
    <t>2453565.4563 </t>
  </si>
  <si>
    <t> 13.07.2005 22:57 </t>
  </si>
  <si>
    <t> 0.0006 </t>
  </si>
  <si>
    <t> R. Diethelm </t>
  </si>
  <si>
    <t>IBVS 5713 </t>
  </si>
  <si>
    <t>2453895.4783 </t>
  </si>
  <si>
    <t> 08.06.2006 23:28 </t>
  </si>
  <si>
    <t> 0.0020 </t>
  </si>
  <si>
    <t>2455283.933 </t>
  </si>
  <si>
    <t> 28.03.2010 10:23 </t>
  </si>
  <si>
    <t> 0.000 </t>
  </si>
  <si>
    <t>C </t>
  </si>
  <si>
    <t>IBVS 5945 </t>
  </si>
  <si>
    <t>2455334.0728 </t>
  </si>
  <si>
    <t> 17.05.2010 13:44 </t>
  </si>
  <si>
    <t> -0.0014 </t>
  </si>
  <si>
    <t>Rc</t>
  </si>
  <si>
    <t> K.Shiokawa </t>
  </si>
  <si>
    <t>VSB 51 </t>
  </si>
  <si>
    <t>2455338.1826 </t>
  </si>
  <si>
    <t> 21.05.2010 16:22 </t>
  </si>
  <si>
    <t> 0.0060 </t>
  </si>
  <si>
    <t>2455349.1129 </t>
  </si>
  <si>
    <t> 01.06.2010 14:42 </t>
  </si>
  <si>
    <t> -0.0036 </t>
  </si>
  <si>
    <t>2455396.0634 </t>
  </si>
  <si>
    <t> 18.07.2010 13:31 </t>
  </si>
  <si>
    <t> H.Itoh </t>
  </si>
  <si>
    <t>2455438.0000 </t>
  </si>
  <si>
    <t> 29.08.2010 12:00 </t>
  </si>
  <si>
    <t> -0.0033 </t>
  </si>
  <si>
    <t>2456010.52687 </t>
  </si>
  <si>
    <t> 24.03.2012 00:38 </t>
  </si>
  <si>
    <t> 0.00172 </t>
  </si>
  <si>
    <t>B</t>
  </si>
  <si>
    <t> M.Lehky </t>
  </si>
  <si>
    <t>OEJV 0160 </t>
  </si>
  <si>
    <t>2456010.52771 </t>
  </si>
  <si>
    <t> 24.03.2012 00:39 </t>
  </si>
  <si>
    <t> 0.00256 </t>
  </si>
  <si>
    <t>2456010.52854 </t>
  </si>
  <si>
    <t> 24.03.2012 00:41 </t>
  </si>
  <si>
    <t> 0.00339 </t>
  </si>
  <si>
    <t>2456010.5294 </t>
  </si>
  <si>
    <t> 24.03.2012 00:42 </t>
  </si>
  <si>
    <t> 0.0042 </t>
  </si>
  <si>
    <t>R</t>
  </si>
  <si>
    <t>2456068.41859 </t>
  </si>
  <si>
    <t> 20.05.2012 22:02 </t>
  </si>
  <si>
    <t> 0.00309 </t>
  </si>
  <si>
    <t>2456068.41929 </t>
  </si>
  <si>
    <t> 20.05.2012 22:03 </t>
  </si>
  <si>
    <t> 0.00379 </t>
  </si>
  <si>
    <t>2456068.41932 </t>
  </si>
  <si>
    <t> 0.00382 </t>
  </si>
  <si>
    <t>2456068.42059 </t>
  </si>
  <si>
    <t> 20.05.2012 22:05 </t>
  </si>
  <si>
    <t> 0.00509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</si>
</sst>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V1125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3">
                  <c:v>1.1488999996799976E-2</c:v>
                </c:pt>
                <c:pt idx="5">
                  <c:v>1.9538000000466127E-2</c:v>
                </c:pt>
                <c:pt idx="6">
                  <c:v>1.5267999995558057E-2</c:v>
                </c:pt>
                <c:pt idx="7">
                  <c:v>2.0329999999376014E-2</c:v>
                </c:pt>
                <c:pt idx="8">
                  <c:v>3.3602999996219296E-2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2-4079-AF4A-4D6A589FE0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Kreimer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82-4079-AF4A-4D6A589FE0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4">
                  <c:v>4.3219999999564607E-2</c:v>
                </c:pt>
                <c:pt idx="15">
                  <c:v>4.4060000000172295E-2</c:v>
                </c:pt>
                <c:pt idx="16">
                  <c:v>4.4889999997394625E-2</c:v>
                </c:pt>
                <c:pt idx="17">
                  <c:v>4.5749999997497071E-2</c:v>
                </c:pt>
                <c:pt idx="18">
                  <c:v>4.5228499999211635E-2</c:v>
                </c:pt>
                <c:pt idx="19">
                  <c:v>4.5928499996080063E-2</c:v>
                </c:pt>
                <c:pt idx="20">
                  <c:v>4.5958499998960178E-2</c:v>
                </c:pt>
                <c:pt idx="21">
                  <c:v>4.7228499999619089E-2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82-4079-AF4A-4D6A589FE0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-7.6867000003403518E-2</c:v>
                </c:pt>
                <c:pt idx="1">
                  <c:v>-8.9871000003768131E-2</c:v>
                </c:pt>
                <c:pt idx="2">
                  <c:v>-3.1520000004093163E-2</c:v>
                </c:pt>
                <c:pt idx="9">
                  <c:v>3.2707999998820014E-2</c:v>
                </c:pt>
                <c:pt idx="10">
                  <c:v>4.0087499997753184E-2</c:v>
                </c:pt>
                <c:pt idx="11">
                  <c:v>3.0599500001699198E-2</c:v>
                </c:pt>
                <c:pt idx="12">
                  <c:v>3.1175999996776227E-2</c:v>
                </c:pt>
                <c:pt idx="13">
                  <c:v>3.1921999994665384E-2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82-4079-AF4A-4D6A589FE0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82-4079-AF4A-4D6A589FE0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82-4079-AF4A-4D6A589FE0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2E-3</c:v>
                  </c:pt>
                  <c:pt idx="5">
                    <c:v>2E-3</c:v>
                  </c:pt>
                  <c:pt idx="6">
                    <c:v>1.5E-3</c:v>
                  </c:pt>
                  <c:pt idx="7">
                    <c:v>2.9999999999999997E-4</c:v>
                  </c:pt>
                  <c:pt idx="8">
                    <c:v>5.0000000000000001E-3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1.1000000000000001E-3</c:v>
                  </c:pt>
                  <c:pt idx="20">
                    <c:v>8.9999999999999998E-4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82-4079-AF4A-4D6A589FE0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-14917</c:v>
                </c:pt>
                <c:pt idx="1">
                  <c:v>-14521</c:v>
                </c:pt>
                <c:pt idx="2">
                  <c:v>-14520</c:v>
                </c:pt>
                <c:pt idx="3">
                  <c:v>-1361</c:v>
                </c:pt>
                <c:pt idx="4">
                  <c:v>0</c:v>
                </c:pt>
                <c:pt idx="5">
                  <c:v>238</c:v>
                </c:pt>
                <c:pt idx="6">
                  <c:v>1168</c:v>
                </c:pt>
                <c:pt idx="7">
                  <c:v>1530</c:v>
                </c:pt>
                <c:pt idx="8">
                  <c:v>3053</c:v>
                </c:pt>
                <c:pt idx="9">
                  <c:v>3108</c:v>
                </c:pt>
                <c:pt idx="10">
                  <c:v>3112.5</c:v>
                </c:pt>
                <c:pt idx="11">
                  <c:v>3124.5</c:v>
                </c:pt>
                <c:pt idx="12">
                  <c:v>3176</c:v>
                </c:pt>
                <c:pt idx="13">
                  <c:v>3222</c:v>
                </c:pt>
                <c:pt idx="14">
                  <c:v>3850</c:v>
                </c:pt>
                <c:pt idx="15">
                  <c:v>3850</c:v>
                </c:pt>
                <c:pt idx="16">
                  <c:v>3850</c:v>
                </c:pt>
                <c:pt idx="17">
                  <c:v>3850</c:v>
                </c:pt>
                <c:pt idx="18">
                  <c:v>3913.5</c:v>
                </c:pt>
                <c:pt idx="19">
                  <c:v>3913.5</c:v>
                </c:pt>
                <c:pt idx="20">
                  <c:v>3913.5</c:v>
                </c:pt>
                <c:pt idx="21">
                  <c:v>3913.5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-6.962673894022503E-2</c:v>
                </c:pt>
                <c:pt idx="1">
                  <c:v>-6.7311300595000345E-2</c:v>
                </c:pt>
                <c:pt idx="2">
                  <c:v>-6.7305453528471976E-2</c:v>
                </c:pt>
                <c:pt idx="3">
                  <c:v>9.6360949180228084E-3</c:v>
                </c:pt>
                <c:pt idx="4">
                  <c:v>1.7593952463100658E-2</c:v>
                </c:pt>
                <c:pt idx="5">
                  <c:v>1.898555429684682E-2</c:v>
                </c:pt>
                <c:pt idx="6">
                  <c:v>2.442332616820788E-2</c:v>
                </c:pt>
                <c:pt idx="7">
                  <c:v>2.6539964251468852E-2</c:v>
                </c:pt>
                <c:pt idx="8">
                  <c:v>3.5445046574138626E-2</c:v>
                </c:pt>
                <c:pt idx="9">
                  <c:v>3.5766635233197612E-2</c:v>
                </c:pt>
                <c:pt idx="10">
                  <c:v>3.579294703257517E-2</c:v>
                </c:pt>
                <c:pt idx="11">
                  <c:v>3.5863111830915312E-2</c:v>
                </c:pt>
                <c:pt idx="12">
                  <c:v>3.6164235757125088E-2</c:v>
                </c:pt>
                <c:pt idx="13">
                  <c:v>3.6433200817428971E-2</c:v>
                </c:pt>
                <c:pt idx="14">
                  <c:v>4.0105158597229768E-2</c:v>
                </c:pt>
                <c:pt idx="15">
                  <c:v>4.0105158597229768E-2</c:v>
                </c:pt>
                <c:pt idx="16">
                  <c:v>4.0105158597229768E-2</c:v>
                </c:pt>
                <c:pt idx="17">
                  <c:v>4.0105158597229768E-2</c:v>
                </c:pt>
                <c:pt idx="18">
                  <c:v>4.0476447321779692E-2</c:v>
                </c:pt>
                <c:pt idx="19">
                  <c:v>4.0476447321779692E-2</c:v>
                </c:pt>
                <c:pt idx="20">
                  <c:v>4.0476447321779692E-2</c:v>
                </c:pt>
                <c:pt idx="21">
                  <c:v>4.0476447321779692E-2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82-4079-AF4A-4D6A589F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30576"/>
        <c:axId val="1"/>
      </c:scatterChart>
      <c:valAx>
        <c:axId val="73823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30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691729323308270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E980AB-C67C-3D56-3A0D-98C1E9AB0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1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vsolj.cetus-net.org/vsoljno51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027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027" TargetMode="External"/><Relationship Id="rId6" Type="http://schemas.openxmlformats.org/officeDocument/2006/relationships/hyperlink" Target="http://vsolj.cetus-net.org/vsoljno51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945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konkoly.hu/cgi-bin/IBVS?5713" TargetMode="External"/><Relationship Id="rId9" Type="http://schemas.openxmlformats.org/officeDocument/2006/relationships/hyperlink" Target="http://vsolj.cetus-net.org/vsoljno51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25" customFormat="1" ht="12.95" customHeight="1" x14ac:dyDescent="0.2">
      <c r="A2" s="25" t="s">
        <v>23</v>
      </c>
      <c r="B2" s="25" t="s">
        <v>40</v>
      </c>
      <c r="C2" s="26"/>
      <c r="D2" s="26"/>
    </row>
    <row r="3" spans="1:7" s="25" customFormat="1" ht="12.95" customHeight="1" thickBot="1" x14ac:dyDescent="0.25"/>
    <row r="4" spans="1:7" s="25" customFormat="1" ht="12.95" customHeight="1" thickTop="1" thickBot="1" x14ac:dyDescent="0.25">
      <c r="A4" s="27" t="s">
        <v>0</v>
      </c>
      <c r="C4" s="28">
        <v>52500.635000000002</v>
      </c>
      <c r="D4" s="29">
        <v>0.91164900000000004</v>
      </c>
    </row>
    <row r="5" spans="1:7" s="25" customFormat="1" ht="12.95" customHeight="1" thickTop="1" x14ac:dyDescent="0.2">
      <c r="C5" s="6" t="s">
        <v>39</v>
      </c>
    </row>
    <row r="6" spans="1:7" s="25" customFormat="1" ht="12.95" customHeight="1" x14ac:dyDescent="0.2">
      <c r="A6" s="27" t="s">
        <v>1</v>
      </c>
    </row>
    <row r="7" spans="1:7" s="25" customFormat="1" ht="12.95" customHeight="1" x14ac:dyDescent="0.2">
      <c r="A7" s="25" t="s">
        <v>2</v>
      </c>
      <c r="C7" s="25">
        <f>+C4</f>
        <v>52500.635000000002</v>
      </c>
    </row>
    <row r="8" spans="1:7" s="25" customFormat="1" ht="12.95" customHeight="1" x14ac:dyDescent="0.2">
      <c r="A8" s="25" t="s">
        <v>3</v>
      </c>
      <c r="C8" s="25">
        <v>0.91164900000000004</v>
      </c>
    </row>
    <row r="9" spans="1:7" s="25" customFormat="1" ht="12.95" customHeight="1" x14ac:dyDescent="0.2">
      <c r="A9" s="30" t="s">
        <v>29</v>
      </c>
      <c r="C9" s="31">
        <v>-9.5</v>
      </c>
      <c r="D9" s="25" t="s">
        <v>30</v>
      </c>
    </row>
    <row r="10" spans="1:7" s="25" customFormat="1" ht="12.95" customHeight="1" thickBot="1" x14ac:dyDescent="0.25">
      <c r="C10" s="32" t="s">
        <v>19</v>
      </c>
      <c r="D10" s="32" t="s">
        <v>20</v>
      </c>
    </row>
    <row r="11" spans="1:7" s="25" customFormat="1" ht="12.95" customHeight="1" x14ac:dyDescent="0.2">
      <c r="A11" s="25" t="s">
        <v>15</v>
      </c>
      <c r="C11" s="33">
        <f ca="1">INTERCEPT(INDIRECT($G$11):G991,INDIRECT($F$11):F991)</f>
        <v>1.7593952463100658E-2</v>
      </c>
      <c r="D11" s="26"/>
      <c r="F11" s="34" t="str">
        <f>"F"&amp;E19</f>
        <v>F21</v>
      </c>
      <c r="G11" s="33" t="str">
        <f>"G"&amp;E19</f>
        <v>G21</v>
      </c>
    </row>
    <row r="12" spans="1:7" s="25" customFormat="1" ht="12.95" customHeight="1" x14ac:dyDescent="0.2">
      <c r="A12" s="25" t="s">
        <v>16</v>
      </c>
      <c r="C12" s="33">
        <f ca="1">SLOPE(INDIRECT($G$11):G991,INDIRECT($F$11):F991)</f>
        <v>5.8470665283452235E-6</v>
      </c>
      <c r="D12" s="26"/>
    </row>
    <row r="13" spans="1:7" s="25" customFormat="1" ht="12.95" customHeight="1" x14ac:dyDescent="0.2">
      <c r="A13" s="25" t="s">
        <v>18</v>
      </c>
      <c r="C13" s="26" t="s">
        <v>13</v>
      </c>
      <c r="D13" s="35" t="s">
        <v>45</v>
      </c>
      <c r="E13" s="31">
        <v>1</v>
      </c>
    </row>
    <row r="14" spans="1:7" s="25" customFormat="1" ht="12.95" customHeight="1" x14ac:dyDescent="0.2">
      <c r="D14" s="35" t="s">
        <v>31</v>
      </c>
      <c r="E14" s="36">
        <f ca="1">NOW()+15018.5+$C$9/24</f>
        <v>60368.71950648148</v>
      </c>
    </row>
    <row r="15" spans="1:7" s="25" customFormat="1" ht="12.95" customHeight="1" x14ac:dyDescent="0.2">
      <c r="A15" s="37" t="s">
        <v>17</v>
      </c>
      <c r="C15" s="38">
        <f ca="1">(C7+C11)+(C8+C12)*INT(MAX(F21:F3532))</f>
        <v>56067.958010523791</v>
      </c>
      <c r="D15" s="35" t="s">
        <v>46</v>
      </c>
      <c r="E15" s="36">
        <f ca="1">ROUND(2*(E14-$C$7)/$C$8,0)/2+E13</f>
        <v>8631.5</v>
      </c>
    </row>
    <row r="16" spans="1:7" s="25" customFormat="1" ht="12.95" customHeight="1" x14ac:dyDescent="0.2">
      <c r="A16" s="27" t="s">
        <v>4</v>
      </c>
      <c r="C16" s="39">
        <f ca="1">+C8+C12</f>
        <v>0.91165484706652844</v>
      </c>
      <c r="D16" s="35" t="s">
        <v>32</v>
      </c>
      <c r="E16" s="33">
        <f ca="1">ROUND(2*(E14-$C$15)/$C$16,0)/2+E13</f>
        <v>4718.5</v>
      </c>
    </row>
    <row r="17" spans="1:17" s="25" customFormat="1" ht="12.95" customHeight="1" thickBot="1" x14ac:dyDescent="0.25">
      <c r="A17" s="35" t="s">
        <v>28</v>
      </c>
      <c r="C17" s="25">
        <f>COUNT(C21:C2190)</f>
        <v>22</v>
      </c>
      <c r="D17" s="35" t="s">
        <v>33</v>
      </c>
      <c r="E17" s="40">
        <f ca="1">+$C$15+$C$16*E16-15018.5-$C$9/24</f>
        <v>45351.497239740544</v>
      </c>
    </row>
    <row r="18" spans="1:17" s="25" customFormat="1" ht="12.95" customHeight="1" thickTop="1" thickBot="1" x14ac:dyDescent="0.25">
      <c r="A18" s="27" t="s">
        <v>5</v>
      </c>
      <c r="C18" s="41">
        <f ca="1">+C15</f>
        <v>56067.958010523791</v>
      </c>
      <c r="D18" s="42">
        <f ca="1">+C16</f>
        <v>0.91165484706652844</v>
      </c>
      <c r="E18" s="43" t="s">
        <v>34</v>
      </c>
    </row>
    <row r="19" spans="1:17" s="25" customFormat="1" ht="12.95" customHeight="1" thickTop="1" x14ac:dyDescent="0.2">
      <c r="A19" s="44" t="s">
        <v>35</v>
      </c>
      <c r="E19" s="45">
        <v>21</v>
      </c>
    </row>
    <row r="20" spans="1:17" s="25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6" t="s">
        <v>27</v>
      </c>
      <c r="I20" s="46" t="s">
        <v>42</v>
      </c>
      <c r="J20" s="46" t="s">
        <v>51</v>
      </c>
      <c r="K20" s="46" t="s">
        <v>58</v>
      </c>
      <c r="L20" s="46" t="s">
        <v>24</v>
      </c>
      <c r="M20" s="46" t="s">
        <v>25</v>
      </c>
      <c r="N20" s="46" t="s">
        <v>26</v>
      </c>
      <c r="O20" s="46" t="s">
        <v>22</v>
      </c>
      <c r="P20" s="47" t="s">
        <v>21</v>
      </c>
      <c r="Q20" s="32" t="s">
        <v>14</v>
      </c>
    </row>
    <row r="21" spans="1:17" s="25" customFormat="1" ht="12.95" customHeight="1" x14ac:dyDescent="0.2">
      <c r="A21" s="48" t="s">
        <v>64</v>
      </c>
      <c r="B21" s="49" t="s">
        <v>48</v>
      </c>
      <c r="C21" s="50">
        <v>38901.49</v>
      </c>
      <c r="D21" s="51"/>
      <c r="E21" s="25">
        <f t="shared" ref="E21:E42" si="0">+(C21-C$7)/C$8</f>
        <v>-14917.084316441968</v>
      </c>
      <c r="F21" s="25">
        <f t="shared" ref="F21:F42" si="1">ROUND(2*E21,0)/2</f>
        <v>-14917</v>
      </c>
      <c r="G21" s="25">
        <f t="shared" ref="G21:G42" si="2">+C21-(C$7+F21*C$8)</f>
        <v>-7.6867000003403518E-2</v>
      </c>
      <c r="K21" s="25">
        <f>+G21</f>
        <v>-7.6867000003403518E-2</v>
      </c>
      <c r="O21" s="25">
        <f t="shared" ref="O21:O42" ca="1" si="3">+C$11+C$12*$F21</f>
        <v>-6.962673894022503E-2</v>
      </c>
      <c r="Q21" s="52">
        <f t="shared" ref="Q21:Q42" si="4">+C21-15018.5</f>
        <v>23882.989999999998</v>
      </c>
    </row>
    <row r="22" spans="1:17" s="25" customFormat="1" ht="12.95" customHeight="1" x14ac:dyDescent="0.2">
      <c r="A22" s="48" t="s">
        <v>64</v>
      </c>
      <c r="B22" s="49" t="s">
        <v>48</v>
      </c>
      <c r="C22" s="50">
        <v>39262.49</v>
      </c>
      <c r="D22" s="51"/>
      <c r="E22" s="25">
        <f t="shared" si="0"/>
        <v>-14521.098580703761</v>
      </c>
      <c r="F22" s="25">
        <f t="shared" si="1"/>
        <v>-14521</v>
      </c>
      <c r="G22" s="25">
        <f t="shared" si="2"/>
        <v>-8.9871000003768131E-2</v>
      </c>
      <c r="K22" s="25">
        <f>+G22</f>
        <v>-8.9871000003768131E-2</v>
      </c>
      <c r="O22" s="25">
        <f t="shared" ca="1" si="3"/>
        <v>-6.7311300595000345E-2</v>
      </c>
      <c r="Q22" s="52">
        <f t="shared" si="4"/>
        <v>24243.989999999998</v>
      </c>
    </row>
    <row r="23" spans="1:17" s="25" customFormat="1" ht="12.95" customHeight="1" x14ac:dyDescent="0.2">
      <c r="A23" s="48" t="s">
        <v>64</v>
      </c>
      <c r="B23" s="49" t="s">
        <v>37</v>
      </c>
      <c r="C23" s="50">
        <v>39263.46</v>
      </c>
      <c r="D23" s="51"/>
      <c r="E23" s="25">
        <f t="shared" si="0"/>
        <v>-14520.034574710226</v>
      </c>
      <c r="F23" s="25">
        <f t="shared" si="1"/>
        <v>-14520</v>
      </c>
      <c r="G23" s="25">
        <f t="shared" si="2"/>
        <v>-3.1520000004093163E-2</v>
      </c>
      <c r="K23" s="25">
        <f>+G23</f>
        <v>-3.1520000004093163E-2</v>
      </c>
      <c r="O23" s="25">
        <f t="shared" ca="1" si="3"/>
        <v>-6.7305453528471976E-2</v>
      </c>
      <c r="Q23" s="52">
        <f t="shared" si="4"/>
        <v>24244.959999999999</v>
      </c>
    </row>
    <row r="24" spans="1:17" s="25" customFormat="1" ht="12.95" customHeight="1" x14ac:dyDescent="0.2">
      <c r="A24" s="7" t="s">
        <v>36</v>
      </c>
      <c r="B24" s="8" t="s">
        <v>37</v>
      </c>
      <c r="C24" s="7">
        <v>51259.892200000002</v>
      </c>
      <c r="D24" s="7">
        <v>2E-3</v>
      </c>
      <c r="E24" s="25">
        <f t="shared" si="0"/>
        <v>-1360.9873975620003</v>
      </c>
      <c r="F24" s="25">
        <f t="shared" si="1"/>
        <v>-1361</v>
      </c>
      <c r="G24" s="25">
        <f t="shared" si="2"/>
        <v>1.1488999996799976E-2</v>
      </c>
      <c r="H24" s="25">
        <f>+G24</f>
        <v>1.1488999996799976E-2</v>
      </c>
      <c r="O24" s="25">
        <f t="shared" ca="1" si="3"/>
        <v>9.6360949180228084E-3</v>
      </c>
      <c r="Q24" s="52">
        <f t="shared" si="4"/>
        <v>36241.392200000002</v>
      </c>
    </row>
    <row r="25" spans="1:17" s="25" customFormat="1" ht="12.95" customHeight="1" x14ac:dyDescent="0.2">
      <c r="A25" s="53" t="s">
        <v>42</v>
      </c>
      <c r="B25" s="53"/>
      <c r="C25" s="7">
        <v>52500.635000000002</v>
      </c>
      <c r="D25" s="7"/>
      <c r="E25" s="25">
        <f t="shared" si="0"/>
        <v>0</v>
      </c>
      <c r="F25" s="25">
        <f t="shared" si="1"/>
        <v>0</v>
      </c>
      <c r="G25" s="25">
        <f t="shared" si="2"/>
        <v>0</v>
      </c>
      <c r="I25" s="25">
        <f>+G25</f>
        <v>0</v>
      </c>
      <c r="O25" s="25">
        <f t="shared" ca="1" si="3"/>
        <v>1.7593952463100658E-2</v>
      </c>
      <c r="Q25" s="52">
        <f t="shared" si="4"/>
        <v>37482.135000000002</v>
      </c>
    </row>
    <row r="26" spans="1:17" s="25" customFormat="1" ht="12.95" customHeight="1" x14ac:dyDescent="0.2">
      <c r="A26" s="7" t="s">
        <v>38</v>
      </c>
      <c r="B26" s="8" t="s">
        <v>37</v>
      </c>
      <c r="C26" s="7">
        <v>52717.627</v>
      </c>
      <c r="D26" s="7">
        <v>2E-3</v>
      </c>
      <c r="E26" s="25">
        <f t="shared" si="0"/>
        <v>238.02143149391748</v>
      </c>
      <c r="F26" s="25">
        <f t="shared" si="1"/>
        <v>238</v>
      </c>
      <c r="G26" s="25">
        <f t="shared" si="2"/>
        <v>1.9538000000466127E-2</v>
      </c>
      <c r="H26" s="25">
        <f>+G26</f>
        <v>1.9538000000466127E-2</v>
      </c>
      <c r="O26" s="25">
        <f t="shared" ca="1" si="3"/>
        <v>1.898555429684682E-2</v>
      </c>
      <c r="Q26" s="52">
        <f t="shared" si="4"/>
        <v>37699.127</v>
      </c>
    </row>
    <row r="27" spans="1:17" s="25" customFormat="1" ht="12.95" customHeight="1" x14ac:dyDescent="0.2">
      <c r="A27" s="7" t="s">
        <v>43</v>
      </c>
      <c r="B27" s="8" t="s">
        <v>37</v>
      </c>
      <c r="C27" s="7">
        <v>53565.456299999998</v>
      </c>
      <c r="D27" s="7">
        <v>1.5E-3</v>
      </c>
      <c r="E27" s="25">
        <f t="shared" si="0"/>
        <v>1168.0167476737165</v>
      </c>
      <c r="F27" s="25">
        <f t="shared" si="1"/>
        <v>1168</v>
      </c>
      <c r="G27" s="25">
        <f t="shared" si="2"/>
        <v>1.5267999995558057E-2</v>
      </c>
      <c r="H27" s="25">
        <f>+G27</f>
        <v>1.5267999995558057E-2</v>
      </c>
      <c r="O27" s="25">
        <f t="shared" ca="1" si="3"/>
        <v>2.442332616820788E-2</v>
      </c>
      <c r="Q27" s="52">
        <f t="shared" si="4"/>
        <v>38546.956299999998</v>
      </c>
    </row>
    <row r="28" spans="1:17" s="25" customFormat="1" ht="12.95" customHeight="1" x14ac:dyDescent="0.2">
      <c r="A28" s="7" t="s">
        <v>43</v>
      </c>
      <c r="B28" s="8" t="s">
        <v>37</v>
      </c>
      <c r="C28" s="7">
        <v>53895.478300000002</v>
      </c>
      <c r="D28" s="7">
        <v>2.9999999999999997E-4</v>
      </c>
      <c r="E28" s="25">
        <f t="shared" si="0"/>
        <v>1530.0223002493287</v>
      </c>
      <c r="F28" s="25">
        <f t="shared" si="1"/>
        <v>1530</v>
      </c>
      <c r="G28" s="25">
        <f t="shared" si="2"/>
        <v>2.0329999999376014E-2</v>
      </c>
      <c r="H28" s="25">
        <f>+G28</f>
        <v>2.0329999999376014E-2</v>
      </c>
      <c r="O28" s="25">
        <f t="shared" ca="1" si="3"/>
        <v>2.6539964251468852E-2</v>
      </c>
      <c r="Q28" s="52">
        <f t="shared" si="4"/>
        <v>38876.978300000002</v>
      </c>
    </row>
    <row r="29" spans="1:17" s="25" customFormat="1" ht="12.95" customHeight="1" x14ac:dyDescent="0.2">
      <c r="A29" s="7" t="s">
        <v>44</v>
      </c>
      <c r="B29" s="8" t="s">
        <v>37</v>
      </c>
      <c r="C29" s="7">
        <v>55283.932999999997</v>
      </c>
      <c r="D29" s="7">
        <v>5.0000000000000001E-3</v>
      </c>
      <c r="E29" s="25">
        <f t="shared" si="0"/>
        <v>3053.03685958082</v>
      </c>
      <c r="F29" s="25">
        <f t="shared" si="1"/>
        <v>3053</v>
      </c>
      <c r="G29" s="25">
        <f t="shared" si="2"/>
        <v>3.3602999996219296E-2</v>
      </c>
      <c r="H29" s="25">
        <f>+G29</f>
        <v>3.3602999996219296E-2</v>
      </c>
      <c r="O29" s="25">
        <f t="shared" ca="1" si="3"/>
        <v>3.5445046574138626E-2</v>
      </c>
      <c r="Q29" s="52">
        <f t="shared" si="4"/>
        <v>40265.432999999997</v>
      </c>
    </row>
    <row r="30" spans="1:17" s="25" customFormat="1" ht="12.95" customHeight="1" x14ac:dyDescent="0.2">
      <c r="A30" s="48" t="s">
        <v>103</v>
      </c>
      <c r="B30" s="49" t="s">
        <v>37</v>
      </c>
      <c r="C30" s="50">
        <v>55334.072800000002</v>
      </c>
      <c r="D30" s="51"/>
      <c r="E30" s="25">
        <f t="shared" si="0"/>
        <v>3108.035877843336</v>
      </c>
      <c r="F30" s="25">
        <f t="shared" si="1"/>
        <v>3108</v>
      </c>
      <c r="G30" s="25">
        <f t="shared" si="2"/>
        <v>3.2707999998820014E-2</v>
      </c>
      <c r="K30" s="25">
        <f>+G30</f>
        <v>3.2707999998820014E-2</v>
      </c>
      <c r="O30" s="25">
        <f t="shared" ca="1" si="3"/>
        <v>3.5766635233197612E-2</v>
      </c>
      <c r="Q30" s="52">
        <f t="shared" si="4"/>
        <v>40315.572800000002</v>
      </c>
    </row>
    <row r="31" spans="1:17" s="25" customFormat="1" ht="12.95" customHeight="1" x14ac:dyDescent="0.2">
      <c r="A31" s="48" t="s">
        <v>103</v>
      </c>
      <c r="B31" s="49" t="s">
        <v>48</v>
      </c>
      <c r="C31" s="50">
        <v>55338.1826</v>
      </c>
      <c r="D31" s="51"/>
      <c r="E31" s="25">
        <f t="shared" si="0"/>
        <v>3112.5439725157357</v>
      </c>
      <c r="F31" s="25">
        <f t="shared" si="1"/>
        <v>3112.5</v>
      </c>
      <c r="G31" s="25">
        <f t="shared" si="2"/>
        <v>4.0087499997753184E-2</v>
      </c>
      <c r="K31" s="25">
        <f>+G31</f>
        <v>4.0087499997753184E-2</v>
      </c>
      <c r="O31" s="25">
        <f t="shared" ca="1" si="3"/>
        <v>3.579294703257517E-2</v>
      </c>
      <c r="Q31" s="52">
        <f t="shared" si="4"/>
        <v>40319.6826</v>
      </c>
    </row>
    <row r="32" spans="1:17" s="25" customFormat="1" ht="12.95" customHeight="1" x14ac:dyDescent="0.2">
      <c r="A32" s="48" t="s">
        <v>103</v>
      </c>
      <c r="B32" s="49" t="s">
        <v>48</v>
      </c>
      <c r="C32" s="50">
        <v>55349.1129</v>
      </c>
      <c r="D32" s="51"/>
      <c r="E32" s="25">
        <f t="shared" si="0"/>
        <v>3124.5335650014404</v>
      </c>
      <c r="F32" s="25">
        <f t="shared" si="1"/>
        <v>3124.5</v>
      </c>
      <c r="G32" s="25">
        <f t="shared" si="2"/>
        <v>3.0599500001699198E-2</v>
      </c>
      <c r="K32" s="25">
        <f>+G32</f>
        <v>3.0599500001699198E-2</v>
      </c>
      <c r="O32" s="25">
        <f t="shared" ca="1" si="3"/>
        <v>3.5863111830915312E-2</v>
      </c>
      <c r="Q32" s="52">
        <f t="shared" si="4"/>
        <v>40330.6129</v>
      </c>
    </row>
    <row r="33" spans="1:17" s="25" customFormat="1" ht="12.95" customHeight="1" x14ac:dyDescent="0.2">
      <c r="A33" s="48" t="s">
        <v>103</v>
      </c>
      <c r="B33" s="49" t="s">
        <v>37</v>
      </c>
      <c r="C33" s="50">
        <v>55396.063399999999</v>
      </c>
      <c r="D33" s="51"/>
      <c r="E33" s="25">
        <f t="shared" si="0"/>
        <v>3176.0341973720115</v>
      </c>
      <c r="F33" s="25">
        <f t="shared" si="1"/>
        <v>3176</v>
      </c>
      <c r="G33" s="25">
        <f t="shared" si="2"/>
        <v>3.1175999996776227E-2</v>
      </c>
      <c r="K33" s="25">
        <f>+G33</f>
        <v>3.1175999996776227E-2</v>
      </c>
      <c r="O33" s="25">
        <f t="shared" ca="1" si="3"/>
        <v>3.6164235757125088E-2</v>
      </c>
      <c r="Q33" s="52">
        <f t="shared" si="4"/>
        <v>40377.563399999999</v>
      </c>
    </row>
    <row r="34" spans="1:17" s="25" customFormat="1" ht="12.95" customHeight="1" x14ac:dyDescent="0.2">
      <c r="A34" s="48" t="s">
        <v>103</v>
      </c>
      <c r="B34" s="49" t="s">
        <v>37</v>
      </c>
      <c r="C34" s="50">
        <v>55438</v>
      </c>
      <c r="D34" s="51"/>
      <c r="E34" s="25">
        <f t="shared" si="0"/>
        <v>3222.0350156694053</v>
      </c>
      <c r="F34" s="25">
        <f t="shared" si="1"/>
        <v>3222</v>
      </c>
      <c r="G34" s="25">
        <f t="shared" si="2"/>
        <v>3.1921999994665384E-2</v>
      </c>
      <c r="K34" s="25">
        <f>+G34</f>
        <v>3.1921999994665384E-2</v>
      </c>
      <c r="O34" s="25">
        <f t="shared" ca="1" si="3"/>
        <v>3.6433200817428971E-2</v>
      </c>
      <c r="Q34" s="52">
        <f t="shared" si="4"/>
        <v>40419.5</v>
      </c>
    </row>
    <row r="35" spans="1:17" s="25" customFormat="1" ht="12.95" customHeight="1" x14ac:dyDescent="0.2">
      <c r="A35" s="54" t="s">
        <v>47</v>
      </c>
      <c r="B35" s="55" t="s">
        <v>37</v>
      </c>
      <c r="C35" s="56">
        <v>56010.526870000002</v>
      </c>
      <c r="D35" s="56">
        <v>1.1000000000000001E-3</v>
      </c>
      <c r="E35" s="25">
        <f t="shared" si="0"/>
        <v>3850.0474085969481</v>
      </c>
      <c r="F35" s="25">
        <f t="shared" si="1"/>
        <v>3850</v>
      </c>
      <c r="G35" s="25">
        <f t="shared" si="2"/>
        <v>4.3219999999564607E-2</v>
      </c>
      <c r="J35" s="25">
        <f t="shared" ref="J35:J42" si="5">+G35</f>
        <v>4.3219999999564607E-2</v>
      </c>
      <c r="O35" s="25">
        <f t="shared" ca="1" si="3"/>
        <v>4.0105158597229768E-2</v>
      </c>
      <c r="Q35" s="52">
        <f t="shared" si="4"/>
        <v>40992.026870000002</v>
      </c>
    </row>
    <row r="36" spans="1:17" s="25" customFormat="1" ht="12.95" customHeight="1" x14ac:dyDescent="0.2">
      <c r="A36" s="54" t="s">
        <v>47</v>
      </c>
      <c r="B36" s="55" t="s">
        <v>37</v>
      </c>
      <c r="C36" s="56">
        <v>56010.527710000002</v>
      </c>
      <c r="D36" s="56">
        <v>6.9999999999999999E-4</v>
      </c>
      <c r="E36" s="25">
        <f t="shared" si="0"/>
        <v>3850.048330004201</v>
      </c>
      <c r="F36" s="25">
        <f t="shared" si="1"/>
        <v>3850</v>
      </c>
      <c r="G36" s="25">
        <f t="shared" si="2"/>
        <v>4.4060000000172295E-2</v>
      </c>
      <c r="J36" s="25">
        <f t="shared" si="5"/>
        <v>4.4060000000172295E-2</v>
      </c>
      <c r="O36" s="25">
        <f t="shared" ca="1" si="3"/>
        <v>4.0105158597229768E-2</v>
      </c>
      <c r="Q36" s="52">
        <f t="shared" si="4"/>
        <v>40992.027710000002</v>
      </c>
    </row>
    <row r="37" spans="1:17" x14ac:dyDescent="0.2">
      <c r="A37" s="9" t="s">
        <v>47</v>
      </c>
      <c r="B37" s="10" t="s">
        <v>37</v>
      </c>
      <c r="C37" s="11">
        <v>56010.528539999999</v>
      </c>
      <c r="D37" s="11">
        <v>8.0000000000000004E-4</v>
      </c>
      <c r="E37">
        <f t="shared" si="0"/>
        <v>3850.0492404423162</v>
      </c>
      <c r="F37">
        <f t="shared" si="1"/>
        <v>3850</v>
      </c>
      <c r="G37">
        <f t="shared" si="2"/>
        <v>4.4889999997394625E-2</v>
      </c>
      <c r="J37">
        <f t="shared" si="5"/>
        <v>4.4889999997394625E-2</v>
      </c>
      <c r="O37">
        <f t="shared" ca="1" si="3"/>
        <v>4.0105158597229768E-2</v>
      </c>
      <c r="Q37" s="2">
        <f t="shared" si="4"/>
        <v>40992.028539999999</v>
      </c>
    </row>
    <row r="38" spans="1:17" x14ac:dyDescent="0.2">
      <c r="A38" s="9" t="s">
        <v>47</v>
      </c>
      <c r="B38" s="10" t="s">
        <v>37</v>
      </c>
      <c r="C38" s="11">
        <v>56010.529399999999</v>
      </c>
      <c r="D38" s="11">
        <v>5.9999999999999995E-4</v>
      </c>
      <c r="E38">
        <f t="shared" si="0"/>
        <v>3850.0501837878364</v>
      </c>
      <c r="F38">
        <f t="shared" si="1"/>
        <v>3850</v>
      </c>
      <c r="G38">
        <f t="shared" si="2"/>
        <v>4.5749999997497071E-2</v>
      </c>
      <c r="J38">
        <f t="shared" si="5"/>
        <v>4.5749999997497071E-2</v>
      </c>
      <c r="O38">
        <f t="shared" ca="1" si="3"/>
        <v>4.0105158597229768E-2</v>
      </c>
      <c r="Q38" s="2">
        <f t="shared" si="4"/>
        <v>40992.029399999999</v>
      </c>
    </row>
    <row r="39" spans="1:17" x14ac:dyDescent="0.2">
      <c r="A39" s="9" t="s">
        <v>47</v>
      </c>
      <c r="B39" s="10" t="s">
        <v>48</v>
      </c>
      <c r="C39" s="11">
        <v>56068.418590000001</v>
      </c>
      <c r="D39" s="11">
        <v>8.0000000000000004E-4</v>
      </c>
      <c r="E39">
        <f t="shared" si="0"/>
        <v>3913.5496117475027</v>
      </c>
      <c r="F39">
        <f t="shared" si="1"/>
        <v>3913.5</v>
      </c>
      <c r="G39">
        <f t="shared" si="2"/>
        <v>4.5228499999211635E-2</v>
      </c>
      <c r="J39">
        <f t="shared" si="5"/>
        <v>4.5228499999211635E-2</v>
      </c>
      <c r="O39">
        <f t="shared" ca="1" si="3"/>
        <v>4.0476447321779692E-2</v>
      </c>
      <c r="Q39" s="2">
        <f t="shared" si="4"/>
        <v>41049.918590000001</v>
      </c>
    </row>
    <row r="40" spans="1:17" x14ac:dyDescent="0.2">
      <c r="A40" s="9" t="s">
        <v>47</v>
      </c>
      <c r="B40" s="10" t="s">
        <v>48</v>
      </c>
      <c r="C40" s="11">
        <v>56068.419289999998</v>
      </c>
      <c r="D40" s="11">
        <v>1.1000000000000001E-3</v>
      </c>
      <c r="E40">
        <f t="shared" si="0"/>
        <v>3913.5503795868758</v>
      </c>
      <c r="F40">
        <f t="shared" si="1"/>
        <v>3913.5</v>
      </c>
      <c r="G40">
        <f t="shared" si="2"/>
        <v>4.5928499996080063E-2</v>
      </c>
      <c r="J40">
        <f t="shared" si="5"/>
        <v>4.5928499996080063E-2</v>
      </c>
      <c r="O40">
        <f t="shared" ca="1" si="3"/>
        <v>4.0476447321779692E-2</v>
      </c>
      <c r="Q40" s="2">
        <f t="shared" si="4"/>
        <v>41049.919289999998</v>
      </c>
    </row>
    <row r="41" spans="1:17" x14ac:dyDescent="0.2">
      <c r="A41" s="9" t="s">
        <v>47</v>
      </c>
      <c r="B41" s="10" t="s">
        <v>48</v>
      </c>
      <c r="C41" s="11">
        <v>56068.419320000001</v>
      </c>
      <c r="D41" s="11">
        <v>8.9999999999999998E-4</v>
      </c>
      <c r="E41">
        <f t="shared" si="0"/>
        <v>3913.5504124942809</v>
      </c>
      <c r="F41">
        <f t="shared" si="1"/>
        <v>3913.5</v>
      </c>
      <c r="G41">
        <f t="shared" si="2"/>
        <v>4.5958499998960178E-2</v>
      </c>
      <c r="J41">
        <f t="shared" si="5"/>
        <v>4.5958499998960178E-2</v>
      </c>
      <c r="O41">
        <f t="shared" ca="1" si="3"/>
        <v>4.0476447321779692E-2</v>
      </c>
      <c r="Q41" s="2">
        <f t="shared" si="4"/>
        <v>41049.919320000001</v>
      </c>
    </row>
    <row r="42" spans="1:17" x14ac:dyDescent="0.2">
      <c r="A42" s="9" t="s">
        <v>47</v>
      </c>
      <c r="B42" s="10" t="s">
        <v>48</v>
      </c>
      <c r="C42" s="11">
        <v>56068.420590000002</v>
      </c>
      <c r="D42" s="11">
        <v>2.0000000000000001E-4</v>
      </c>
      <c r="E42">
        <f t="shared" si="0"/>
        <v>3913.5518055742937</v>
      </c>
      <c r="F42">
        <f t="shared" si="1"/>
        <v>3913.5</v>
      </c>
      <c r="G42">
        <f t="shared" si="2"/>
        <v>4.7228499999619089E-2</v>
      </c>
      <c r="J42">
        <f t="shared" si="5"/>
        <v>4.7228499999619089E-2</v>
      </c>
      <c r="O42">
        <f t="shared" ca="1" si="3"/>
        <v>4.0476447321779692E-2</v>
      </c>
      <c r="Q42" s="2">
        <f t="shared" si="4"/>
        <v>41049.920590000002</v>
      </c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2"/>
  <sheetViews>
    <sheetView topLeftCell="A9" workbookViewId="0">
      <selection activeCell="A24" sqref="A24:C32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2" t="s">
        <v>49</v>
      </c>
      <c r="I1" s="13" t="s">
        <v>50</v>
      </c>
      <c r="J1" s="14" t="s">
        <v>51</v>
      </c>
    </row>
    <row r="2" spans="1:16" x14ac:dyDescent="0.2">
      <c r="I2" s="15" t="s">
        <v>40</v>
      </c>
      <c r="J2" s="16" t="s">
        <v>52</v>
      </c>
    </row>
    <row r="3" spans="1:16" x14ac:dyDescent="0.2">
      <c r="A3" s="17" t="s">
        <v>53</v>
      </c>
      <c r="I3" s="15" t="s">
        <v>54</v>
      </c>
      <c r="J3" s="16" t="s">
        <v>55</v>
      </c>
    </row>
    <row r="4" spans="1:16" x14ac:dyDescent="0.2">
      <c r="I4" s="15" t="s">
        <v>56</v>
      </c>
      <c r="J4" s="16" t="s">
        <v>55</v>
      </c>
    </row>
    <row r="5" spans="1:16" ht="13.5" thickBot="1" x14ac:dyDescent="0.25">
      <c r="I5" s="18" t="s">
        <v>57</v>
      </c>
      <c r="J5" s="19" t="s">
        <v>58</v>
      </c>
    </row>
    <row r="10" spans="1:16" ht="13.5" thickBot="1" x14ac:dyDescent="0.25"/>
    <row r="11" spans="1:16" ht="12.75" customHeight="1" thickBot="1" x14ac:dyDescent="0.25">
      <c r="A11" s="4" t="str">
        <f t="shared" ref="A11:A32" si="0">P11</f>
        <v>IBVS 5027 </v>
      </c>
      <c r="B11" s="3" t="str">
        <f t="shared" ref="B11:B32" si="1">IF(H11=INT(H11),"I","II")</f>
        <v>I</v>
      </c>
      <c r="C11" s="4">
        <f t="shared" ref="C11:C32" si="2">1*G11</f>
        <v>51259.892200000002</v>
      </c>
      <c r="D11" s="5" t="str">
        <f t="shared" ref="D11:D32" si="3">VLOOKUP(F11,I$1:J$5,2,FALSE)</f>
        <v>vis</v>
      </c>
      <c r="E11" s="20">
        <f>VLOOKUP(C11,Active!C$21:E$972,3,FALSE)</f>
        <v>-1360.9873975620003</v>
      </c>
      <c r="F11" s="3" t="s">
        <v>57</v>
      </c>
      <c r="G11" s="5" t="str">
        <f t="shared" ref="G11:G32" si="4">MID(I11,3,LEN(I11)-3)</f>
        <v>51259.8922</v>
      </c>
      <c r="H11" s="4">
        <f t="shared" ref="H11:H32" si="5">1*K11</f>
        <v>-1361</v>
      </c>
      <c r="I11" s="21" t="s">
        <v>71</v>
      </c>
      <c r="J11" s="22" t="s">
        <v>72</v>
      </c>
      <c r="K11" s="21">
        <v>-1361</v>
      </c>
      <c r="L11" s="21" t="s">
        <v>73</v>
      </c>
      <c r="M11" s="22" t="s">
        <v>74</v>
      </c>
      <c r="N11" s="22" t="s">
        <v>75</v>
      </c>
      <c r="O11" s="23" t="s">
        <v>76</v>
      </c>
      <c r="P11" s="24" t="s">
        <v>77</v>
      </c>
    </row>
    <row r="12" spans="1:16" ht="12.75" customHeight="1" thickBot="1" x14ac:dyDescent="0.25">
      <c r="A12" s="4" t="str">
        <f t="shared" si="0"/>
        <v> BBS 129 </v>
      </c>
      <c r="B12" s="3" t="str">
        <f t="shared" si="1"/>
        <v>I</v>
      </c>
      <c r="C12" s="4">
        <f t="shared" si="2"/>
        <v>52717.627</v>
      </c>
      <c r="D12" s="5" t="str">
        <f t="shared" si="3"/>
        <v>vis</v>
      </c>
      <c r="E12" s="20">
        <f>VLOOKUP(C12,Active!C$21:E$972,3,FALSE)</f>
        <v>238.02143149391748</v>
      </c>
      <c r="F12" s="3" t="s">
        <v>57</v>
      </c>
      <c r="G12" s="5" t="str">
        <f t="shared" si="4"/>
        <v>52717.627</v>
      </c>
      <c r="H12" s="4">
        <f t="shared" si="5"/>
        <v>238</v>
      </c>
      <c r="I12" s="21" t="s">
        <v>81</v>
      </c>
      <c r="J12" s="22" t="s">
        <v>82</v>
      </c>
      <c r="K12" s="21">
        <v>238</v>
      </c>
      <c r="L12" s="21" t="s">
        <v>83</v>
      </c>
      <c r="M12" s="22" t="s">
        <v>74</v>
      </c>
      <c r="N12" s="22" t="s">
        <v>75</v>
      </c>
      <c r="O12" s="23" t="s">
        <v>76</v>
      </c>
      <c r="P12" s="23" t="s">
        <v>84</v>
      </c>
    </row>
    <row r="13" spans="1:16" ht="12.75" customHeight="1" thickBot="1" x14ac:dyDescent="0.25">
      <c r="A13" s="4" t="str">
        <f t="shared" si="0"/>
        <v>IBVS 5713 </v>
      </c>
      <c r="B13" s="3" t="str">
        <f t="shared" si="1"/>
        <v>I</v>
      </c>
      <c r="C13" s="4">
        <f t="shared" si="2"/>
        <v>53565.456299999998</v>
      </c>
      <c r="D13" s="5" t="str">
        <f t="shared" si="3"/>
        <v>vis</v>
      </c>
      <c r="E13" s="20">
        <f>VLOOKUP(C13,Active!C$21:E$972,3,FALSE)</f>
        <v>1168.0167476737165</v>
      </c>
      <c r="F13" s="3" t="s">
        <v>57</v>
      </c>
      <c r="G13" s="5" t="str">
        <f t="shared" si="4"/>
        <v>53565.4563</v>
      </c>
      <c r="H13" s="4">
        <f t="shared" si="5"/>
        <v>1168</v>
      </c>
      <c r="I13" s="21" t="s">
        <v>85</v>
      </c>
      <c r="J13" s="22" t="s">
        <v>86</v>
      </c>
      <c r="K13" s="21">
        <v>1168</v>
      </c>
      <c r="L13" s="21" t="s">
        <v>87</v>
      </c>
      <c r="M13" s="22" t="s">
        <v>74</v>
      </c>
      <c r="N13" s="22" t="s">
        <v>75</v>
      </c>
      <c r="O13" s="23" t="s">
        <v>88</v>
      </c>
      <c r="P13" s="24" t="s">
        <v>89</v>
      </c>
    </row>
    <row r="14" spans="1:16" ht="12.75" customHeight="1" thickBot="1" x14ac:dyDescent="0.25">
      <c r="A14" s="4" t="str">
        <f t="shared" si="0"/>
        <v>IBVS 5713 </v>
      </c>
      <c r="B14" s="3" t="str">
        <f t="shared" si="1"/>
        <v>I</v>
      </c>
      <c r="C14" s="4">
        <f t="shared" si="2"/>
        <v>53895.478300000002</v>
      </c>
      <c r="D14" s="5" t="str">
        <f t="shared" si="3"/>
        <v>vis</v>
      </c>
      <c r="E14" s="20">
        <f>VLOOKUP(C14,Active!C$21:E$972,3,FALSE)</f>
        <v>1530.0223002493287</v>
      </c>
      <c r="F14" s="3" t="s">
        <v>57</v>
      </c>
      <c r="G14" s="5" t="str">
        <f t="shared" si="4"/>
        <v>53895.4783</v>
      </c>
      <c r="H14" s="4">
        <f t="shared" si="5"/>
        <v>1530</v>
      </c>
      <c r="I14" s="21" t="s">
        <v>90</v>
      </c>
      <c r="J14" s="22" t="s">
        <v>91</v>
      </c>
      <c r="K14" s="21">
        <v>1530</v>
      </c>
      <c r="L14" s="21" t="s">
        <v>92</v>
      </c>
      <c r="M14" s="22" t="s">
        <v>74</v>
      </c>
      <c r="N14" s="22" t="s">
        <v>75</v>
      </c>
      <c r="O14" s="23" t="s">
        <v>88</v>
      </c>
      <c r="P14" s="24" t="s">
        <v>89</v>
      </c>
    </row>
    <row r="15" spans="1:16" ht="12.75" customHeight="1" thickBot="1" x14ac:dyDescent="0.25">
      <c r="A15" s="4" t="str">
        <f t="shared" si="0"/>
        <v>IBVS 5945 </v>
      </c>
      <c r="B15" s="3" t="str">
        <f t="shared" si="1"/>
        <v>I</v>
      </c>
      <c r="C15" s="4">
        <f t="shared" si="2"/>
        <v>55283.932999999997</v>
      </c>
      <c r="D15" s="5" t="str">
        <f t="shared" si="3"/>
        <v>vis</v>
      </c>
      <c r="E15" s="20">
        <f>VLOOKUP(C15,Active!C$21:E$972,3,FALSE)</f>
        <v>3053.03685958082</v>
      </c>
      <c r="F15" s="3" t="s">
        <v>57</v>
      </c>
      <c r="G15" s="5" t="str">
        <f t="shared" si="4"/>
        <v>55283.933</v>
      </c>
      <c r="H15" s="4">
        <f t="shared" si="5"/>
        <v>3053</v>
      </c>
      <c r="I15" s="21" t="s">
        <v>93</v>
      </c>
      <c r="J15" s="22" t="s">
        <v>94</v>
      </c>
      <c r="K15" s="21">
        <v>3053</v>
      </c>
      <c r="L15" s="21" t="s">
        <v>95</v>
      </c>
      <c r="M15" s="22" t="s">
        <v>96</v>
      </c>
      <c r="N15" s="22" t="s">
        <v>57</v>
      </c>
      <c r="O15" s="23" t="s">
        <v>76</v>
      </c>
      <c r="P15" s="24" t="s">
        <v>97</v>
      </c>
    </row>
    <row r="16" spans="1:16" ht="12.75" customHeight="1" thickBot="1" x14ac:dyDescent="0.25">
      <c r="A16" s="4" t="str">
        <f t="shared" si="0"/>
        <v>OEJV 0160 </v>
      </c>
      <c r="B16" s="3" t="str">
        <f t="shared" si="1"/>
        <v>I</v>
      </c>
      <c r="C16" s="4">
        <f t="shared" si="2"/>
        <v>56010.526870000002</v>
      </c>
      <c r="D16" s="5" t="str">
        <f t="shared" si="3"/>
        <v>vis</v>
      </c>
      <c r="E16" s="20">
        <f>VLOOKUP(C16,Active!C$21:E$972,3,FALSE)</f>
        <v>3850.0474085969481</v>
      </c>
      <c r="F16" s="3" t="s">
        <v>57</v>
      </c>
      <c r="G16" s="5" t="str">
        <f t="shared" si="4"/>
        <v>56010.52687</v>
      </c>
      <c r="H16" s="4">
        <f t="shared" si="5"/>
        <v>3850</v>
      </c>
      <c r="I16" s="21" t="s">
        <v>116</v>
      </c>
      <c r="J16" s="22" t="s">
        <v>117</v>
      </c>
      <c r="K16" s="21">
        <v>3850</v>
      </c>
      <c r="L16" s="21" t="s">
        <v>118</v>
      </c>
      <c r="M16" s="22" t="s">
        <v>96</v>
      </c>
      <c r="N16" s="22" t="s">
        <v>119</v>
      </c>
      <c r="O16" s="23" t="s">
        <v>120</v>
      </c>
      <c r="P16" s="24" t="s">
        <v>121</v>
      </c>
    </row>
    <row r="17" spans="1:16" ht="12.75" customHeight="1" thickBot="1" x14ac:dyDescent="0.25">
      <c r="A17" s="4" t="str">
        <f t="shared" si="0"/>
        <v>OEJV 0160 </v>
      </c>
      <c r="B17" s="3" t="str">
        <f t="shared" si="1"/>
        <v>I</v>
      </c>
      <c r="C17" s="4">
        <f t="shared" si="2"/>
        <v>56010.527710000002</v>
      </c>
      <c r="D17" s="5" t="str">
        <f t="shared" si="3"/>
        <v>vis</v>
      </c>
      <c r="E17" s="20">
        <f>VLOOKUP(C17,Active!C$21:E$972,3,FALSE)</f>
        <v>3850.048330004201</v>
      </c>
      <c r="F17" s="3" t="s">
        <v>57</v>
      </c>
      <c r="G17" s="5" t="str">
        <f t="shared" si="4"/>
        <v>56010.52771</v>
      </c>
      <c r="H17" s="4">
        <f t="shared" si="5"/>
        <v>3850</v>
      </c>
      <c r="I17" s="21" t="s">
        <v>122</v>
      </c>
      <c r="J17" s="22" t="s">
        <v>123</v>
      </c>
      <c r="K17" s="21">
        <v>3850</v>
      </c>
      <c r="L17" s="21" t="s">
        <v>124</v>
      </c>
      <c r="M17" s="22" t="s">
        <v>96</v>
      </c>
      <c r="N17" s="22" t="s">
        <v>37</v>
      </c>
      <c r="O17" s="23" t="s">
        <v>120</v>
      </c>
      <c r="P17" s="24" t="s">
        <v>121</v>
      </c>
    </row>
    <row r="18" spans="1:16" ht="12.75" customHeight="1" thickBot="1" x14ac:dyDescent="0.25">
      <c r="A18" s="4" t="str">
        <f t="shared" si="0"/>
        <v>OEJV 0160 </v>
      </c>
      <c r="B18" s="3" t="str">
        <f t="shared" si="1"/>
        <v>I</v>
      </c>
      <c r="C18" s="4">
        <f t="shared" si="2"/>
        <v>56010.528539999999</v>
      </c>
      <c r="D18" s="5" t="str">
        <f t="shared" si="3"/>
        <v>vis</v>
      </c>
      <c r="E18" s="20">
        <f>VLOOKUP(C18,Active!C$21:E$972,3,FALSE)</f>
        <v>3850.0492404423162</v>
      </c>
      <c r="F18" s="3" t="s">
        <v>57</v>
      </c>
      <c r="G18" s="5" t="str">
        <f t="shared" si="4"/>
        <v>56010.52854</v>
      </c>
      <c r="H18" s="4">
        <f t="shared" si="5"/>
        <v>3850</v>
      </c>
      <c r="I18" s="21" t="s">
        <v>125</v>
      </c>
      <c r="J18" s="22" t="s">
        <v>126</v>
      </c>
      <c r="K18" s="21">
        <v>3850</v>
      </c>
      <c r="L18" s="21" t="s">
        <v>127</v>
      </c>
      <c r="M18" s="22" t="s">
        <v>96</v>
      </c>
      <c r="N18" s="22" t="s">
        <v>57</v>
      </c>
      <c r="O18" s="23" t="s">
        <v>120</v>
      </c>
      <c r="P18" s="24" t="s">
        <v>121</v>
      </c>
    </row>
    <row r="19" spans="1:16" ht="12.75" customHeight="1" thickBot="1" x14ac:dyDescent="0.25">
      <c r="A19" s="4" t="str">
        <f t="shared" si="0"/>
        <v>OEJV 0160 </v>
      </c>
      <c r="B19" s="3" t="str">
        <f t="shared" si="1"/>
        <v>I</v>
      </c>
      <c r="C19" s="4">
        <f t="shared" si="2"/>
        <v>56010.529399999999</v>
      </c>
      <c r="D19" s="5" t="str">
        <f t="shared" si="3"/>
        <v>vis</v>
      </c>
      <c r="E19" s="20">
        <f>VLOOKUP(C19,Active!C$21:E$972,3,FALSE)</f>
        <v>3850.0501837878364</v>
      </c>
      <c r="F19" s="3" t="s">
        <v>57</v>
      </c>
      <c r="G19" s="5" t="str">
        <f t="shared" si="4"/>
        <v>56010.5294</v>
      </c>
      <c r="H19" s="4">
        <f t="shared" si="5"/>
        <v>3850</v>
      </c>
      <c r="I19" s="21" t="s">
        <v>128</v>
      </c>
      <c r="J19" s="22" t="s">
        <v>129</v>
      </c>
      <c r="K19" s="21">
        <v>3850</v>
      </c>
      <c r="L19" s="21" t="s">
        <v>130</v>
      </c>
      <c r="M19" s="22" t="s">
        <v>96</v>
      </c>
      <c r="N19" s="22" t="s">
        <v>131</v>
      </c>
      <c r="O19" s="23" t="s">
        <v>120</v>
      </c>
      <c r="P19" s="24" t="s">
        <v>121</v>
      </c>
    </row>
    <row r="20" spans="1:16" ht="12.75" customHeight="1" thickBot="1" x14ac:dyDescent="0.25">
      <c r="A20" s="4" t="str">
        <f t="shared" si="0"/>
        <v>OEJV 0160 </v>
      </c>
      <c r="B20" s="3" t="str">
        <f t="shared" si="1"/>
        <v>II</v>
      </c>
      <c r="C20" s="4">
        <f t="shared" si="2"/>
        <v>56068.418590000001</v>
      </c>
      <c r="D20" s="5" t="str">
        <f t="shared" si="3"/>
        <v>vis</v>
      </c>
      <c r="E20" s="20">
        <f>VLOOKUP(C20,Active!C$21:E$972,3,FALSE)</f>
        <v>3913.5496117475027</v>
      </c>
      <c r="F20" s="3" t="s">
        <v>57</v>
      </c>
      <c r="G20" s="5" t="str">
        <f t="shared" si="4"/>
        <v>56068.41859</v>
      </c>
      <c r="H20" s="4">
        <f t="shared" si="5"/>
        <v>3913.5</v>
      </c>
      <c r="I20" s="21" t="s">
        <v>132</v>
      </c>
      <c r="J20" s="22" t="s">
        <v>133</v>
      </c>
      <c r="K20" s="21">
        <v>3913.5</v>
      </c>
      <c r="L20" s="21" t="s">
        <v>134</v>
      </c>
      <c r="M20" s="22" t="s">
        <v>96</v>
      </c>
      <c r="N20" s="22" t="s">
        <v>131</v>
      </c>
      <c r="O20" s="23" t="s">
        <v>120</v>
      </c>
      <c r="P20" s="24" t="s">
        <v>121</v>
      </c>
    </row>
    <row r="21" spans="1:16" ht="12.75" customHeight="1" thickBot="1" x14ac:dyDescent="0.25">
      <c r="A21" s="4" t="str">
        <f t="shared" si="0"/>
        <v>OEJV 0160 </v>
      </c>
      <c r="B21" s="3" t="str">
        <f t="shared" si="1"/>
        <v>II</v>
      </c>
      <c r="C21" s="4">
        <f t="shared" si="2"/>
        <v>56068.419289999998</v>
      </c>
      <c r="D21" s="5" t="str">
        <f t="shared" si="3"/>
        <v>vis</v>
      </c>
      <c r="E21" s="20">
        <f>VLOOKUP(C21,Active!C$21:E$972,3,FALSE)</f>
        <v>3913.5503795868758</v>
      </c>
      <c r="F21" s="3" t="s">
        <v>57</v>
      </c>
      <c r="G21" s="5" t="str">
        <f t="shared" si="4"/>
        <v>56068.41929</v>
      </c>
      <c r="H21" s="4">
        <f t="shared" si="5"/>
        <v>3913.5</v>
      </c>
      <c r="I21" s="21" t="s">
        <v>135</v>
      </c>
      <c r="J21" s="22" t="s">
        <v>136</v>
      </c>
      <c r="K21" s="21">
        <v>3913.5</v>
      </c>
      <c r="L21" s="21" t="s">
        <v>137</v>
      </c>
      <c r="M21" s="22" t="s">
        <v>96</v>
      </c>
      <c r="N21" s="22" t="s">
        <v>119</v>
      </c>
      <c r="O21" s="23" t="s">
        <v>120</v>
      </c>
      <c r="P21" s="24" t="s">
        <v>121</v>
      </c>
    </row>
    <row r="22" spans="1:16" ht="12.75" customHeight="1" thickBot="1" x14ac:dyDescent="0.25">
      <c r="A22" s="4" t="str">
        <f t="shared" si="0"/>
        <v>OEJV 0160 </v>
      </c>
      <c r="B22" s="3" t="str">
        <f t="shared" si="1"/>
        <v>II</v>
      </c>
      <c r="C22" s="4">
        <f t="shared" si="2"/>
        <v>56068.419320000001</v>
      </c>
      <c r="D22" s="5" t="str">
        <f t="shared" si="3"/>
        <v>vis</v>
      </c>
      <c r="E22" s="20">
        <f>VLOOKUP(C22,Active!C$21:E$972,3,FALSE)</f>
        <v>3913.5504124942809</v>
      </c>
      <c r="F22" s="3" t="s">
        <v>57</v>
      </c>
      <c r="G22" s="5" t="str">
        <f t="shared" si="4"/>
        <v>56068.41932</v>
      </c>
      <c r="H22" s="4">
        <f t="shared" si="5"/>
        <v>3913.5</v>
      </c>
      <c r="I22" s="21" t="s">
        <v>138</v>
      </c>
      <c r="J22" s="22" t="s">
        <v>136</v>
      </c>
      <c r="K22" s="21">
        <v>3913.5</v>
      </c>
      <c r="L22" s="21" t="s">
        <v>139</v>
      </c>
      <c r="M22" s="22" t="s">
        <v>96</v>
      </c>
      <c r="N22" s="22" t="s">
        <v>57</v>
      </c>
      <c r="O22" s="23" t="s">
        <v>120</v>
      </c>
      <c r="P22" s="24" t="s">
        <v>121</v>
      </c>
    </row>
    <row r="23" spans="1:16" ht="12.75" customHeight="1" thickBot="1" x14ac:dyDescent="0.25">
      <c r="A23" s="4" t="str">
        <f t="shared" si="0"/>
        <v>OEJV 0160 </v>
      </c>
      <c r="B23" s="3" t="str">
        <f t="shared" si="1"/>
        <v>II</v>
      </c>
      <c r="C23" s="4">
        <f t="shared" si="2"/>
        <v>56068.420590000002</v>
      </c>
      <c r="D23" s="5" t="str">
        <f t="shared" si="3"/>
        <v>vis</v>
      </c>
      <c r="E23" s="20">
        <f>VLOOKUP(C23,Active!C$21:E$972,3,FALSE)</f>
        <v>3913.5518055742937</v>
      </c>
      <c r="F23" s="3" t="s">
        <v>57</v>
      </c>
      <c r="G23" s="5" t="str">
        <f t="shared" si="4"/>
        <v>56068.42059</v>
      </c>
      <c r="H23" s="4">
        <f t="shared" si="5"/>
        <v>3913.5</v>
      </c>
      <c r="I23" s="21" t="s">
        <v>140</v>
      </c>
      <c r="J23" s="22" t="s">
        <v>141</v>
      </c>
      <c r="K23" s="21">
        <v>3913.5</v>
      </c>
      <c r="L23" s="21" t="s">
        <v>142</v>
      </c>
      <c r="M23" s="22" t="s">
        <v>96</v>
      </c>
      <c r="N23" s="22" t="s">
        <v>37</v>
      </c>
      <c r="O23" s="23" t="s">
        <v>120</v>
      </c>
      <c r="P23" s="24" t="s">
        <v>121</v>
      </c>
    </row>
    <row r="24" spans="1:16" ht="12.75" customHeight="1" thickBot="1" x14ac:dyDescent="0.25">
      <c r="A24" s="4" t="str">
        <f t="shared" si="0"/>
        <v> AN 290.282 </v>
      </c>
      <c r="B24" s="3" t="str">
        <f t="shared" si="1"/>
        <v>II</v>
      </c>
      <c r="C24" s="4">
        <f t="shared" si="2"/>
        <v>38901.49</v>
      </c>
      <c r="D24" s="5" t="str">
        <f t="shared" si="3"/>
        <v>vis</v>
      </c>
      <c r="E24" s="20">
        <f>VLOOKUP(C24,Active!C$21:E$972,3,FALSE)</f>
        <v>-14917.084316441968</v>
      </c>
      <c r="F24" s="3" t="s">
        <v>57</v>
      </c>
      <c r="G24" s="5" t="str">
        <f t="shared" si="4"/>
        <v>38901.49</v>
      </c>
      <c r="H24" s="4">
        <f t="shared" si="5"/>
        <v>-14917.5</v>
      </c>
      <c r="I24" s="21" t="s">
        <v>59</v>
      </c>
      <c r="J24" s="22" t="s">
        <v>60</v>
      </c>
      <c r="K24" s="21">
        <v>-14917.5</v>
      </c>
      <c r="L24" s="21" t="s">
        <v>61</v>
      </c>
      <c r="M24" s="22" t="s">
        <v>62</v>
      </c>
      <c r="N24" s="22"/>
      <c r="O24" s="23" t="s">
        <v>63</v>
      </c>
      <c r="P24" s="23" t="s">
        <v>64</v>
      </c>
    </row>
    <row r="25" spans="1:16" ht="12.75" customHeight="1" thickBot="1" x14ac:dyDescent="0.25">
      <c r="A25" s="4" t="str">
        <f t="shared" si="0"/>
        <v> AN 290.282 </v>
      </c>
      <c r="B25" s="3" t="str">
        <f t="shared" si="1"/>
        <v>II</v>
      </c>
      <c r="C25" s="4">
        <f t="shared" si="2"/>
        <v>39262.49</v>
      </c>
      <c r="D25" s="5" t="str">
        <f t="shared" si="3"/>
        <v>vis</v>
      </c>
      <c r="E25" s="20">
        <f>VLOOKUP(C25,Active!C$21:E$972,3,FALSE)</f>
        <v>-14521.098580703761</v>
      </c>
      <c r="F25" s="3" t="s">
        <v>57</v>
      </c>
      <c r="G25" s="5" t="str">
        <f t="shared" si="4"/>
        <v>39262.49</v>
      </c>
      <c r="H25" s="4">
        <f t="shared" si="5"/>
        <v>-14521.5</v>
      </c>
      <c r="I25" s="21" t="s">
        <v>65</v>
      </c>
      <c r="J25" s="22" t="s">
        <v>66</v>
      </c>
      <c r="K25" s="21">
        <v>-14521.5</v>
      </c>
      <c r="L25" s="21" t="s">
        <v>67</v>
      </c>
      <c r="M25" s="22" t="s">
        <v>62</v>
      </c>
      <c r="N25" s="22"/>
      <c r="O25" s="23" t="s">
        <v>63</v>
      </c>
      <c r="P25" s="23" t="s">
        <v>64</v>
      </c>
    </row>
    <row r="26" spans="1:16" ht="12.75" customHeight="1" thickBot="1" x14ac:dyDescent="0.25">
      <c r="A26" s="4" t="str">
        <f t="shared" si="0"/>
        <v> AN 290.282 </v>
      </c>
      <c r="B26" s="3" t="str">
        <f t="shared" si="1"/>
        <v>I</v>
      </c>
      <c r="C26" s="4">
        <f t="shared" si="2"/>
        <v>39263.46</v>
      </c>
      <c r="D26" s="5" t="str">
        <f t="shared" si="3"/>
        <v>vis</v>
      </c>
      <c r="E26" s="20">
        <f>VLOOKUP(C26,Active!C$21:E$972,3,FALSE)</f>
        <v>-14520.034574710226</v>
      </c>
      <c r="F26" s="3" t="s">
        <v>57</v>
      </c>
      <c r="G26" s="5" t="str">
        <f t="shared" si="4"/>
        <v>39263.46</v>
      </c>
      <c r="H26" s="4">
        <f t="shared" si="5"/>
        <v>-14520</v>
      </c>
      <c r="I26" s="21" t="s">
        <v>68</v>
      </c>
      <c r="J26" s="22" t="s">
        <v>69</v>
      </c>
      <c r="K26" s="21">
        <v>-14520</v>
      </c>
      <c r="L26" s="21" t="s">
        <v>70</v>
      </c>
      <c r="M26" s="22" t="s">
        <v>62</v>
      </c>
      <c r="N26" s="22"/>
      <c r="O26" s="23" t="s">
        <v>63</v>
      </c>
      <c r="P26" s="23" t="s">
        <v>64</v>
      </c>
    </row>
    <row r="27" spans="1:16" ht="12.75" customHeight="1" thickBot="1" x14ac:dyDescent="0.25">
      <c r="A27" s="4" t="str">
        <f t="shared" si="0"/>
        <v>IBVS 5027 </v>
      </c>
      <c r="B27" s="3" t="str">
        <f t="shared" si="1"/>
        <v>II</v>
      </c>
      <c r="C27" s="4">
        <f t="shared" si="2"/>
        <v>51307.752999999997</v>
      </c>
      <c r="D27" s="5" t="str">
        <f t="shared" si="3"/>
        <v>vis</v>
      </c>
      <c r="E27" s="20" t="e">
        <f>VLOOKUP(C27,Active!C$21:E$972,3,FALSE)</f>
        <v>#N/A</v>
      </c>
      <c r="F27" s="3" t="s">
        <v>57</v>
      </c>
      <c r="G27" s="5" t="str">
        <f t="shared" si="4"/>
        <v>51307.753</v>
      </c>
      <c r="H27" s="4">
        <f t="shared" si="5"/>
        <v>-1308.5</v>
      </c>
      <c r="I27" s="21" t="s">
        <v>78</v>
      </c>
      <c r="J27" s="22" t="s">
        <v>79</v>
      </c>
      <c r="K27" s="21">
        <v>-1308.5</v>
      </c>
      <c r="L27" s="21" t="s">
        <v>80</v>
      </c>
      <c r="M27" s="22" t="s">
        <v>74</v>
      </c>
      <c r="N27" s="22" t="s">
        <v>75</v>
      </c>
      <c r="O27" s="23" t="s">
        <v>76</v>
      </c>
      <c r="P27" s="24" t="s">
        <v>77</v>
      </c>
    </row>
    <row r="28" spans="1:16" ht="12.75" customHeight="1" thickBot="1" x14ac:dyDescent="0.25">
      <c r="A28" s="4" t="str">
        <f t="shared" si="0"/>
        <v>VSB 51 </v>
      </c>
      <c r="B28" s="3" t="str">
        <f t="shared" si="1"/>
        <v>I</v>
      </c>
      <c r="C28" s="4">
        <f t="shared" si="2"/>
        <v>55334.072800000002</v>
      </c>
      <c r="D28" s="5" t="str">
        <f t="shared" si="3"/>
        <v>vis</v>
      </c>
      <c r="E28" s="20">
        <f>VLOOKUP(C28,Active!C$21:E$972,3,FALSE)</f>
        <v>3108.035877843336</v>
      </c>
      <c r="F28" s="3" t="s">
        <v>57</v>
      </c>
      <c r="G28" s="5" t="str">
        <f t="shared" si="4"/>
        <v>55334.0728</v>
      </c>
      <c r="H28" s="4">
        <f t="shared" si="5"/>
        <v>3108</v>
      </c>
      <c r="I28" s="21" t="s">
        <v>98</v>
      </c>
      <c r="J28" s="22" t="s">
        <v>99</v>
      </c>
      <c r="K28" s="21">
        <v>3108</v>
      </c>
      <c r="L28" s="21" t="s">
        <v>100</v>
      </c>
      <c r="M28" s="22" t="s">
        <v>96</v>
      </c>
      <c r="N28" s="22" t="s">
        <v>101</v>
      </c>
      <c r="O28" s="23" t="s">
        <v>102</v>
      </c>
      <c r="P28" s="24" t="s">
        <v>103</v>
      </c>
    </row>
    <row r="29" spans="1:16" ht="12.75" customHeight="1" thickBot="1" x14ac:dyDescent="0.25">
      <c r="A29" s="4" t="str">
        <f t="shared" si="0"/>
        <v>VSB 51 </v>
      </c>
      <c r="B29" s="3" t="str">
        <f t="shared" si="1"/>
        <v>II</v>
      </c>
      <c r="C29" s="4">
        <f t="shared" si="2"/>
        <v>55338.1826</v>
      </c>
      <c r="D29" s="5" t="str">
        <f t="shared" si="3"/>
        <v>vis</v>
      </c>
      <c r="E29" s="20">
        <f>VLOOKUP(C29,Active!C$21:E$972,3,FALSE)</f>
        <v>3112.5439725157357</v>
      </c>
      <c r="F29" s="3" t="s">
        <v>57</v>
      </c>
      <c r="G29" s="5" t="str">
        <f t="shared" si="4"/>
        <v>55338.1826</v>
      </c>
      <c r="H29" s="4">
        <f t="shared" si="5"/>
        <v>3112.5</v>
      </c>
      <c r="I29" s="21" t="s">
        <v>104</v>
      </c>
      <c r="J29" s="22" t="s">
        <v>105</v>
      </c>
      <c r="K29" s="21">
        <v>3112.5</v>
      </c>
      <c r="L29" s="21" t="s">
        <v>106</v>
      </c>
      <c r="M29" s="22" t="s">
        <v>96</v>
      </c>
      <c r="N29" s="22" t="s">
        <v>101</v>
      </c>
      <c r="O29" s="23" t="s">
        <v>102</v>
      </c>
      <c r="P29" s="24" t="s">
        <v>103</v>
      </c>
    </row>
    <row r="30" spans="1:16" ht="12.75" customHeight="1" thickBot="1" x14ac:dyDescent="0.25">
      <c r="A30" s="4" t="str">
        <f t="shared" si="0"/>
        <v>VSB 51 </v>
      </c>
      <c r="B30" s="3" t="str">
        <f t="shared" si="1"/>
        <v>II</v>
      </c>
      <c r="C30" s="4">
        <f t="shared" si="2"/>
        <v>55349.1129</v>
      </c>
      <c r="D30" s="5" t="str">
        <f t="shared" si="3"/>
        <v>vis</v>
      </c>
      <c r="E30" s="20">
        <f>VLOOKUP(C30,Active!C$21:E$972,3,FALSE)</f>
        <v>3124.5335650014404</v>
      </c>
      <c r="F30" s="3" t="s">
        <v>57</v>
      </c>
      <c r="G30" s="5" t="str">
        <f t="shared" si="4"/>
        <v>55349.1129</v>
      </c>
      <c r="H30" s="4">
        <f t="shared" si="5"/>
        <v>3124.5</v>
      </c>
      <c r="I30" s="21" t="s">
        <v>107</v>
      </c>
      <c r="J30" s="22" t="s">
        <v>108</v>
      </c>
      <c r="K30" s="21">
        <v>3124.5</v>
      </c>
      <c r="L30" s="21" t="s">
        <v>109</v>
      </c>
      <c r="M30" s="22" t="s">
        <v>96</v>
      </c>
      <c r="N30" s="22" t="s">
        <v>101</v>
      </c>
      <c r="O30" s="23" t="s">
        <v>102</v>
      </c>
      <c r="P30" s="24" t="s">
        <v>103</v>
      </c>
    </row>
    <row r="31" spans="1:16" ht="12.75" customHeight="1" thickBot="1" x14ac:dyDescent="0.25">
      <c r="A31" s="4" t="str">
        <f t="shared" si="0"/>
        <v>VSB 51 </v>
      </c>
      <c r="B31" s="3" t="str">
        <f t="shared" si="1"/>
        <v>I</v>
      </c>
      <c r="C31" s="4">
        <f t="shared" si="2"/>
        <v>55396.063399999999</v>
      </c>
      <c r="D31" s="5" t="str">
        <f t="shared" si="3"/>
        <v>vis</v>
      </c>
      <c r="E31" s="20">
        <f>VLOOKUP(C31,Active!C$21:E$972,3,FALSE)</f>
        <v>3176.0341973720115</v>
      </c>
      <c r="F31" s="3" t="s">
        <v>57</v>
      </c>
      <c r="G31" s="5" t="str">
        <f t="shared" si="4"/>
        <v>55396.0634</v>
      </c>
      <c r="H31" s="4">
        <f t="shared" si="5"/>
        <v>3176</v>
      </c>
      <c r="I31" s="21" t="s">
        <v>110</v>
      </c>
      <c r="J31" s="22" t="s">
        <v>111</v>
      </c>
      <c r="K31" s="21">
        <v>3176</v>
      </c>
      <c r="L31" s="21" t="s">
        <v>109</v>
      </c>
      <c r="M31" s="22" t="s">
        <v>96</v>
      </c>
      <c r="N31" s="22" t="s">
        <v>57</v>
      </c>
      <c r="O31" s="23" t="s">
        <v>112</v>
      </c>
      <c r="P31" s="24" t="s">
        <v>103</v>
      </c>
    </row>
    <row r="32" spans="1:16" ht="12.75" customHeight="1" thickBot="1" x14ac:dyDescent="0.25">
      <c r="A32" s="4" t="str">
        <f t="shared" si="0"/>
        <v>VSB 51 </v>
      </c>
      <c r="B32" s="3" t="str">
        <f t="shared" si="1"/>
        <v>I</v>
      </c>
      <c r="C32" s="4">
        <f t="shared" si="2"/>
        <v>55438</v>
      </c>
      <c r="D32" s="5" t="str">
        <f t="shared" si="3"/>
        <v>vis</v>
      </c>
      <c r="E32" s="20">
        <f>VLOOKUP(C32,Active!C$21:E$972,3,FALSE)</f>
        <v>3222.0350156694053</v>
      </c>
      <c r="F32" s="3" t="s">
        <v>57</v>
      </c>
      <c r="G32" s="5" t="str">
        <f t="shared" si="4"/>
        <v>55438.0000</v>
      </c>
      <c r="H32" s="4">
        <f t="shared" si="5"/>
        <v>3222</v>
      </c>
      <c r="I32" s="21" t="s">
        <v>113</v>
      </c>
      <c r="J32" s="22" t="s">
        <v>114</v>
      </c>
      <c r="K32" s="21">
        <v>3222</v>
      </c>
      <c r="L32" s="21" t="s">
        <v>115</v>
      </c>
      <c r="M32" s="22" t="s">
        <v>96</v>
      </c>
      <c r="N32" s="22" t="s">
        <v>57</v>
      </c>
      <c r="O32" s="23" t="s">
        <v>112</v>
      </c>
      <c r="P32" s="24" t="s">
        <v>103</v>
      </c>
    </row>
    <row r="33" spans="2:6" x14ac:dyDescent="0.2">
      <c r="B33" s="3"/>
      <c r="E33" s="20"/>
      <c r="F33" s="3"/>
    </row>
    <row r="34" spans="2:6" x14ac:dyDescent="0.2">
      <c r="B34" s="3"/>
      <c r="E34" s="20"/>
      <c r="F34" s="3"/>
    </row>
    <row r="35" spans="2:6" x14ac:dyDescent="0.2">
      <c r="B35" s="3"/>
      <c r="E35" s="20"/>
      <c r="F35" s="3"/>
    </row>
    <row r="36" spans="2:6" x14ac:dyDescent="0.2">
      <c r="B36" s="3"/>
      <c r="E36" s="20"/>
      <c r="F36" s="3"/>
    </row>
    <row r="37" spans="2:6" x14ac:dyDescent="0.2">
      <c r="B37" s="3"/>
      <c r="E37" s="20"/>
      <c r="F37" s="3"/>
    </row>
    <row r="38" spans="2:6" x14ac:dyDescent="0.2">
      <c r="B38" s="3"/>
      <c r="E38" s="20"/>
      <c r="F38" s="3"/>
    </row>
    <row r="39" spans="2:6" x14ac:dyDescent="0.2">
      <c r="B39" s="3"/>
      <c r="E39" s="20"/>
      <c r="F39" s="3"/>
    </row>
    <row r="40" spans="2:6" x14ac:dyDescent="0.2">
      <c r="B40" s="3"/>
      <c r="E40" s="20"/>
      <c r="F40" s="3"/>
    </row>
    <row r="41" spans="2:6" x14ac:dyDescent="0.2">
      <c r="B41" s="3"/>
      <c r="E41" s="20"/>
      <c r="F41" s="3"/>
    </row>
    <row r="42" spans="2:6" x14ac:dyDescent="0.2">
      <c r="B42" s="3"/>
      <c r="E42" s="20"/>
      <c r="F42" s="3"/>
    </row>
    <row r="43" spans="2:6" x14ac:dyDescent="0.2">
      <c r="B43" s="3"/>
      <c r="E43" s="20"/>
      <c r="F43" s="3"/>
    </row>
    <row r="44" spans="2:6" x14ac:dyDescent="0.2">
      <c r="B44" s="3"/>
      <c r="E44" s="20"/>
      <c r="F44" s="3"/>
    </row>
    <row r="45" spans="2:6" x14ac:dyDescent="0.2">
      <c r="B45" s="3"/>
      <c r="E45" s="20"/>
      <c r="F45" s="3"/>
    </row>
    <row r="46" spans="2:6" x14ac:dyDescent="0.2">
      <c r="B46" s="3"/>
      <c r="E46" s="20"/>
      <c r="F46" s="3"/>
    </row>
    <row r="47" spans="2:6" x14ac:dyDescent="0.2">
      <c r="B47" s="3"/>
      <c r="E47" s="20"/>
      <c r="F47" s="3"/>
    </row>
    <row r="48" spans="2:6" x14ac:dyDescent="0.2">
      <c r="B48" s="3"/>
      <c r="E48" s="20"/>
      <c r="F48" s="3"/>
    </row>
    <row r="49" spans="2:6" x14ac:dyDescent="0.2">
      <c r="B49" s="3"/>
      <c r="E49" s="20"/>
      <c r="F49" s="3"/>
    </row>
    <row r="50" spans="2:6" x14ac:dyDescent="0.2">
      <c r="B50" s="3"/>
      <c r="E50" s="20"/>
      <c r="F50" s="3"/>
    </row>
    <row r="51" spans="2:6" x14ac:dyDescent="0.2">
      <c r="B51" s="3"/>
      <c r="E51" s="20"/>
      <c r="F51" s="3"/>
    </row>
    <row r="52" spans="2:6" x14ac:dyDescent="0.2">
      <c r="B52" s="3"/>
      <c r="E52" s="20"/>
      <c r="F52" s="3"/>
    </row>
    <row r="53" spans="2:6" x14ac:dyDescent="0.2">
      <c r="B53" s="3"/>
      <c r="E53" s="20"/>
      <c r="F53" s="3"/>
    </row>
    <row r="54" spans="2:6" x14ac:dyDescent="0.2">
      <c r="B54" s="3"/>
      <c r="E54" s="20"/>
      <c r="F54" s="3"/>
    </row>
    <row r="55" spans="2:6" x14ac:dyDescent="0.2">
      <c r="B55" s="3"/>
      <c r="E55" s="20"/>
      <c r="F55" s="3"/>
    </row>
    <row r="56" spans="2:6" x14ac:dyDescent="0.2">
      <c r="B56" s="3"/>
      <c r="E56" s="20"/>
      <c r="F56" s="3"/>
    </row>
    <row r="57" spans="2:6" x14ac:dyDescent="0.2">
      <c r="B57" s="3"/>
      <c r="E57" s="20"/>
      <c r="F57" s="3"/>
    </row>
    <row r="58" spans="2:6" x14ac:dyDescent="0.2">
      <c r="B58" s="3"/>
      <c r="E58" s="20"/>
      <c r="F58" s="3"/>
    </row>
    <row r="59" spans="2:6" x14ac:dyDescent="0.2">
      <c r="B59" s="3"/>
      <c r="E59" s="20"/>
      <c r="F59" s="3"/>
    </row>
    <row r="60" spans="2:6" x14ac:dyDescent="0.2">
      <c r="B60" s="3"/>
      <c r="E60" s="20"/>
      <c r="F60" s="3"/>
    </row>
    <row r="61" spans="2:6" x14ac:dyDescent="0.2">
      <c r="B61" s="3"/>
      <c r="E61" s="20"/>
      <c r="F61" s="3"/>
    </row>
    <row r="62" spans="2:6" x14ac:dyDescent="0.2">
      <c r="B62" s="3"/>
      <c r="E62" s="20"/>
      <c r="F62" s="3"/>
    </row>
    <row r="63" spans="2:6" x14ac:dyDescent="0.2">
      <c r="B63" s="3"/>
      <c r="E63" s="20"/>
      <c r="F63" s="3"/>
    </row>
    <row r="64" spans="2:6" x14ac:dyDescent="0.2">
      <c r="B64" s="3"/>
      <c r="E64" s="20"/>
      <c r="F64" s="3"/>
    </row>
    <row r="65" spans="2:6" x14ac:dyDescent="0.2">
      <c r="B65" s="3"/>
      <c r="E65" s="20"/>
      <c r="F65" s="3"/>
    </row>
    <row r="66" spans="2:6" x14ac:dyDescent="0.2">
      <c r="B66" s="3"/>
      <c r="E66" s="20"/>
      <c r="F66" s="3"/>
    </row>
    <row r="67" spans="2:6" x14ac:dyDescent="0.2">
      <c r="B67" s="3"/>
      <c r="E67" s="20"/>
      <c r="F67" s="3"/>
    </row>
    <row r="68" spans="2:6" x14ac:dyDescent="0.2">
      <c r="B68" s="3"/>
      <c r="E68" s="20"/>
      <c r="F68" s="3"/>
    </row>
    <row r="69" spans="2:6" x14ac:dyDescent="0.2">
      <c r="B69" s="3"/>
      <c r="E69" s="20"/>
      <c r="F69" s="3"/>
    </row>
    <row r="70" spans="2:6" x14ac:dyDescent="0.2">
      <c r="B70" s="3"/>
      <c r="E70" s="20"/>
      <c r="F70" s="3"/>
    </row>
    <row r="71" spans="2:6" x14ac:dyDescent="0.2">
      <c r="B71" s="3"/>
      <c r="E71" s="20"/>
      <c r="F71" s="3"/>
    </row>
    <row r="72" spans="2:6" x14ac:dyDescent="0.2">
      <c r="B72" s="3"/>
      <c r="E72" s="20"/>
      <c r="F72" s="3"/>
    </row>
    <row r="73" spans="2:6" x14ac:dyDescent="0.2">
      <c r="B73" s="3"/>
      <c r="E73" s="20"/>
      <c r="F73" s="3"/>
    </row>
    <row r="74" spans="2:6" x14ac:dyDescent="0.2">
      <c r="B74" s="3"/>
      <c r="E74" s="20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</sheetData>
  <phoneticPr fontId="7" type="noConversion"/>
  <hyperlinks>
    <hyperlink ref="P11" r:id="rId1" display="http://www.konkoly.hu/cgi-bin/IBVS?5027"/>
    <hyperlink ref="P27" r:id="rId2" display="http://www.konkoly.hu/cgi-bin/IBVS?5027"/>
    <hyperlink ref="P13" r:id="rId3" display="http://www.konkoly.hu/cgi-bin/IBVS?5713"/>
    <hyperlink ref="P14" r:id="rId4" display="http://www.konkoly.hu/cgi-bin/IBVS?5713"/>
    <hyperlink ref="P15" r:id="rId5" display="http://www.konkoly.hu/cgi-bin/IBVS?5945"/>
    <hyperlink ref="P28" r:id="rId6" display="http://vsolj.cetus-net.org/vsoljno51.pdf"/>
    <hyperlink ref="P29" r:id="rId7" display="http://vsolj.cetus-net.org/vsoljno51.pdf"/>
    <hyperlink ref="P30" r:id="rId8" display="http://vsolj.cetus-net.org/vsoljno51.pdf"/>
    <hyperlink ref="P31" r:id="rId9" display="http://vsolj.cetus-net.org/vsoljno51.pdf"/>
    <hyperlink ref="P32" r:id="rId10" display="http://vsolj.cetus-net.org/vsoljno51.pdf"/>
    <hyperlink ref="P16" r:id="rId11" display="http://var.astro.cz/oejv/issues/oejv0160.pdf"/>
    <hyperlink ref="P17" r:id="rId12" display="http://var.astro.cz/oejv/issues/oejv0160.pdf"/>
    <hyperlink ref="P18" r:id="rId13" display="http://var.astro.cz/oejv/issues/oejv0160.pdf"/>
    <hyperlink ref="P19" r:id="rId14" display="http://var.astro.cz/oejv/issues/oejv0160.pdf"/>
    <hyperlink ref="P20" r:id="rId15" display="http://var.astro.cz/oejv/issues/oejv0160.pdf"/>
    <hyperlink ref="P21" r:id="rId16" display="http://var.astro.cz/oejv/issues/oejv0160.pdf"/>
    <hyperlink ref="P22" r:id="rId17" display="http://var.astro.cz/oejv/issues/oejv0160.pdf"/>
    <hyperlink ref="P23" r:id="rId18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2024-02-28T04:16:05Z</dcterms:modified>
</cp:coreProperties>
</file>