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F4024E-24FE-4729-B212-44DBEA0A20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5" i="1"/>
  <c r="F25" i="1"/>
  <c r="G25" i="1"/>
  <c r="E26" i="1"/>
  <c r="F26" i="1"/>
  <c r="G26" i="1"/>
  <c r="K26" i="1"/>
  <c r="E27" i="1"/>
  <c r="F27" i="1"/>
  <c r="G27" i="1"/>
  <c r="H27" i="1"/>
  <c r="E28" i="1"/>
  <c r="F28" i="1"/>
  <c r="G28" i="1"/>
  <c r="J28" i="1"/>
  <c r="E29" i="1"/>
  <c r="F29" i="1"/>
  <c r="G29" i="1"/>
  <c r="J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9" i="1"/>
  <c r="D9" i="1"/>
  <c r="E24" i="1"/>
  <c r="F24" i="1"/>
  <c r="G24" i="1"/>
  <c r="H24" i="1"/>
  <c r="Q21" i="1"/>
  <c r="Q22" i="1"/>
  <c r="Q23" i="1"/>
  <c r="K2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C17" i="1"/>
  <c r="Q24" i="1"/>
  <c r="C11" i="1"/>
  <c r="C12" i="1"/>
  <c r="C16" i="1" l="1"/>
  <c r="D18" i="1" s="1"/>
  <c r="C15" i="1"/>
  <c r="F18" i="1" s="1"/>
  <c r="O24" i="1"/>
  <c r="O28" i="1"/>
  <c r="O38" i="1"/>
  <c r="O35" i="1"/>
  <c r="O23" i="1"/>
  <c r="O31" i="1"/>
  <c r="O36" i="1"/>
  <c r="O42" i="1"/>
  <c r="O32" i="1"/>
  <c r="O34" i="1"/>
  <c r="O40" i="1"/>
  <c r="O30" i="1"/>
  <c r="O43" i="1"/>
  <c r="O39" i="1"/>
  <c r="O27" i="1"/>
  <c r="O22" i="1"/>
  <c r="O41" i="1"/>
  <c r="O29" i="1"/>
  <c r="O25" i="1"/>
  <c r="O37" i="1"/>
  <c r="O21" i="1"/>
  <c r="O26" i="1"/>
  <c r="O33" i="1"/>
  <c r="F17" i="1"/>
  <c r="C18" i="1" l="1"/>
  <c r="F19" i="1"/>
</calcChain>
</file>

<file path=xl/sharedStrings.xml><?xml version="1.0" encoding="utf-8"?>
<sst xmlns="http://schemas.openxmlformats.org/spreadsheetml/2006/main" count="301" uniqueCount="142">
  <si>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</si>
  <si>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</si>
  <si>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</si>
  <si>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</si>
  <si>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</si>
  <si>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</si>
  <si>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</si>
  <si>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</si>
  <si>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</si>
  <si>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</si>
  <si>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</si>
  <si>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</si>
  <si>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</si>
  <si>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</si>
  <si>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</si>
  <si>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</si>
  <si>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</si>
  <si>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</si>
  <si>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</si>
  <si>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</si>
  <si>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</si>
  <si>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</si>
  <si>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</si>
  <si>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</si>
  <si>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</si>
  <si>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</si>
  <si>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</si>
  <si>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</si>
  <si>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</si>
  <si>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</si>
  <si>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</si>
  <si>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</si>
  <si>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</si>
  <si>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</si>
  <si>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</si>
  <si>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</si>
  <si>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</si>
  <si>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</si>
  <si>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</si>
  <si>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</si>
  <si>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</si>
  <si>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</si>
  <si>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</si>
  <si>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</si>
  <si>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</si>
  <si>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</si>
  <si>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</si>
  <si>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</si>
  <si>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V2117 Oph</t>
  </si>
  <si>
    <t>EA</t>
  </si>
  <si>
    <t>2438901.49 </t>
  </si>
  <si>
    <t> 20.05.1965 23:45 </t>
  </si>
  <si>
    <t> 0.53 </t>
  </si>
  <si>
    <t>P </t>
  </si>
  <si>
    <t> C.Hoffmeister </t>
  </si>
  <si>
    <t> AN 290.282 </t>
  </si>
  <si>
    <t>2439262.49 </t>
  </si>
  <si>
    <t> 16.05.1966 23:45 </t>
  </si>
  <si>
    <t> 0.51 </t>
  </si>
  <si>
    <t>2439263.46 </t>
  </si>
  <si>
    <t> 17.05.1966 23:02 </t>
  </si>
  <si>
    <t> 0.11 </t>
  </si>
  <si>
    <t>2451259.8922 </t>
  </si>
  <si>
    <t> 22.03.1999 09:24 </t>
  </si>
  <si>
    <t> 0.0221 </t>
  </si>
  <si>
    <t>E </t>
  </si>
  <si>
    <t>?</t>
  </si>
  <si>
    <t> R.Diethelm </t>
  </si>
  <si>
    <t>IBVS 5027 </t>
  </si>
  <si>
    <t>2451307.753 </t>
  </si>
  <si>
    <t> 09.05.1999 06:04 </t>
  </si>
  <si>
    <t> 0.021 </t>
  </si>
  <si>
    <t>2452717.627 </t>
  </si>
  <si>
    <t> 19.03.2003 03:02 </t>
  </si>
  <si>
    <t> 0.014 </t>
  </si>
  <si>
    <t> BBS 129 </t>
  </si>
  <si>
    <t>2453565.4563 </t>
  </si>
  <si>
    <t> 13.07.2005 22:57 </t>
  </si>
  <si>
    <t> 0.0006 </t>
  </si>
  <si>
    <t> R. Diethelm </t>
  </si>
  <si>
    <t>IBVS 5713 </t>
  </si>
  <si>
    <t>2453895.4783 </t>
  </si>
  <si>
    <t> 08.06.2006 23:28 </t>
  </si>
  <si>
    <t> 0.0020 </t>
  </si>
  <si>
    <t>2455283.933 </t>
  </si>
  <si>
    <t> 28.03.2010 10:23 </t>
  </si>
  <si>
    <t> 0.000 </t>
  </si>
  <si>
    <t>C </t>
  </si>
  <si>
    <t>IBVS 5945 </t>
  </si>
  <si>
    <t>2455334.0728 </t>
  </si>
  <si>
    <t> 17.05.2010 13:44 </t>
  </si>
  <si>
    <t> -0.0014 </t>
  </si>
  <si>
    <t>Rc</t>
  </si>
  <si>
    <t> K.Shiokawa </t>
  </si>
  <si>
    <t>VSB 51 </t>
  </si>
  <si>
    <t>2455338.1826 </t>
  </si>
  <si>
    <t> 21.05.2010 16:22 </t>
  </si>
  <si>
    <t> 0.0060 </t>
  </si>
  <si>
    <t>2455349.1129 </t>
  </si>
  <si>
    <t> 01.06.2010 14:42 </t>
  </si>
  <si>
    <t> -0.0036 </t>
  </si>
  <si>
    <t>2455396.0634 </t>
  </si>
  <si>
    <t> 18.07.2010 13:31 </t>
  </si>
  <si>
    <t> H.Itoh </t>
  </si>
  <si>
    <t>2455438.0000 </t>
  </si>
  <si>
    <t> 29.08.2010 12:00 </t>
  </si>
  <si>
    <t> -0.0033 </t>
  </si>
  <si>
    <t>2456010.52687 </t>
  </si>
  <si>
    <t> 24.03.2012 00:38 </t>
  </si>
  <si>
    <t> 0.00172 </t>
  </si>
  <si>
    <t>B</t>
  </si>
  <si>
    <t> M.Lehky </t>
  </si>
  <si>
    <t>OEJV 0160 </t>
  </si>
  <si>
    <t>2456010.52771 </t>
  </si>
  <si>
    <t> 24.03.2012 00:39 </t>
  </si>
  <si>
    <t> 0.00256 </t>
  </si>
  <si>
    <t>I</t>
  </si>
  <si>
    <t>2456010.52854 </t>
  </si>
  <si>
    <t> 24.03.2012 00:41 </t>
  </si>
  <si>
    <t> 0.00339 </t>
  </si>
  <si>
    <t>2456010.5294 </t>
  </si>
  <si>
    <t> 24.03.2012 00:42 </t>
  </si>
  <si>
    <t> 0.0042 </t>
  </si>
  <si>
    <t>R</t>
  </si>
  <si>
    <t>2456068.41859 </t>
  </si>
  <si>
    <t> 20.05.2012 22:02 </t>
  </si>
  <si>
    <t> 0.00309 </t>
  </si>
  <si>
    <t>2456068.41929 </t>
  </si>
  <si>
    <t> 20.05.2012 22:03 </t>
  </si>
  <si>
    <t> 0.00379 </t>
  </si>
  <si>
    <t>2456068.41932 </t>
  </si>
  <si>
    <t> 0.00382 </t>
  </si>
  <si>
    <t>2456068.42059 </t>
  </si>
  <si>
    <t> 20.05.2012 22:05 </t>
  </si>
  <si>
    <t> 0.00509 </t>
  </si>
  <si>
    <t>II</t>
  </si>
  <si>
    <t>GCVS 4</t>
  </si>
  <si>
    <t>IBVS 5027</t>
  </si>
  <si>
    <t>IBVS 5713</t>
  </si>
  <si>
    <t>IBVS 5945</t>
  </si>
  <si>
    <t>OEJV 0160</t>
  </si>
  <si>
    <t>V2117 Oph / GSC 42625.366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</si>
</sst>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V2117 Oph - O-C Diagr.</a:t>
            </a:r>
          </a:p>
        </c:rich>
      </c:tx>
      <c:layout>
        <c:manualLayout>
          <c:xMode val="edge"/>
          <c:yMode val="edge"/>
          <c:x val="0.3654135338345864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634168126798494"/>
          <c:w val="0.830075187969924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0.12367997647379525</c:v>
                </c:pt>
                <c:pt idx="1">
                  <c:v>0.18927802249527304</c:v>
                </c:pt>
                <c:pt idx="2">
                  <c:v>-1.2586918914166745E-2</c:v>
                </c:pt>
                <c:pt idx="3">
                  <c:v>-0.18710382137942361</c:v>
                </c:pt>
                <c:pt idx="6">
                  <c:v>-2.6979235830367543E-2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2-46EF-94FF-28D79C9F78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2-46EF-94FF-28D79C9F78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0.54396812545019202</c:v>
                </c:pt>
                <c:pt idx="8">
                  <c:v>0.10005464811547427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82-46EF-94FF-28D79C9F78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3.8207876990782097E-2</c:v>
                </c:pt>
                <c:pt idx="5">
                  <c:v>-0.14745472078357125</c:v>
                </c:pt>
                <c:pt idx="9">
                  <c:v>-0.10520092157821637</c:v>
                </c:pt>
                <c:pt idx="10">
                  <c:v>-0.35559340215695556</c:v>
                </c:pt>
                <c:pt idx="11">
                  <c:v>0.23861177360959118</c:v>
                </c:pt>
                <c:pt idx="12">
                  <c:v>-0.54973764048190787</c:v>
                </c:pt>
                <c:pt idx="13">
                  <c:v>-0.47383529684157111</c:v>
                </c:pt>
                <c:pt idx="14">
                  <c:v>0.44749175384640694</c:v>
                </c:pt>
                <c:pt idx="15">
                  <c:v>-6.7594595158880111E-2</c:v>
                </c:pt>
                <c:pt idx="16">
                  <c:v>-6.6754595158272423E-2</c:v>
                </c:pt>
                <c:pt idx="17">
                  <c:v>-6.5924595161050092E-2</c:v>
                </c:pt>
                <c:pt idx="18">
                  <c:v>-6.5064595160947647E-2</c:v>
                </c:pt>
                <c:pt idx="19">
                  <c:v>0.40274327579390956</c:v>
                </c:pt>
                <c:pt idx="20">
                  <c:v>0.40344327579077799</c:v>
                </c:pt>
                <c:pt idx="21">
                  <c:v>0.4034732757936581</c:v>
                </c:pt>
                <c:pt idx="22">
                  <c:v>0.40474327579431701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82-46EF-94FF-28D79C9F78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82-46EF-94FF-28D79C9F78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82-46EF-94FF-28D79C9F78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82-46EF-94FF-28D79C9F78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2.5991352955754873E-2</c:v>
                </c:pt>
                <c:pt idx="1">
                  <c:v>2.6662940950233922E-2</c:v>
                </c:pt>
                <c:pt idx="2">
                  <c:v>2.6665121430735475E-2</c:v>
                </c:pt>
                <c:pt idx="3">
                  <c:v>3.2920919989697796E-2</c:v>
                </c:pt>
                <c:pt idx="4">
                  <c:v>4.8986700325157666E-2</c:v>
                </c:pt>
                <c:pt idx="5">
                  <c:v>4.9076100025721436E-2</c:v>
                </c:pt>
                <c:pt idx="6">
                  <c:v>5.1699218069092528E-2</c:v>
                </c:pt>
                <c:pt idx="7">
                  <c:v>5.3275705471717054E-2</c:v>
                </c:pt>
                <c:pt idx="8">
                  <c:v>5.3890600973155664E-2</c:v>
                </c:pt>
                <c:pt idx="9">
                  <c:v>5.6474470367498766E-2</c:v>
                </c:pt>
                <c:pt idx="10">
                  <c:v>5.6568231029065642E-2</c:v>
                </c:pt>
                <c:pt idx="11">
                  <c:v>5.6574772470570307E-2</c:v>
                </c:pt>
                <c:pt idx="12">
                  <c:v>5.6596577275585862E-2</c:v>
                </c:pt>
                <c:pt idx="13">
                  <c:v>5.668379649564808E-2</c:v>
                </c:pt>
                <c:pt idx="14">
                  <c:v>5.6760113313202513E-2</c:v>
                </c:pt>
                <c:pt idx="15">
                  <c:v>5.7826368278463082E-2</c:v>
                </c:pt>
                <c:pt idx="16">
                  <c:v>5.7826368278463082E-2</c:v>
                </c:pt>
                <c:pt idx="17">
                  <c:v>5.7826368278463082E-2</c:v>
                </c:pt>
                <c:pt idx="18">
                  <c:v>5.7826368278463082E-2</c:v>
                </c:pt>
                <c:pt idx="19">
                  <c:v>5.7933211823039295E-2</c:v>
                </c:pt>
                <c:pt idx="20">
                  <c:v>5.7933211823039295E-2</c:v>
                </c:pt>
                <c:pt idx="21">
                  <c:v>5.7933211823039295E-2</c:v>
                </c:pt>
                <c:pt idx="22">
                  <c:v>5.7933211823039295E-2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82-46EF-94FF-28D79C9F78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-7324</c:v>
                </c:pt>
                <c:pt idx="1">
                  <c:v>-7170</c:v>
                </c:pt>
                <c:pt idx="2">
                  <c:v>-7169.5</c:v>
                </c:pt>
                <c:pt idx="3">
                  <c:v>-5735</c:v>
                </c:pt>
                <c:pt idx="4">
                  <c:v>-2051</c:v>
                </c:pt>
                <c:pt idx="5">
                  <c:v>-2030.5</c:v>
                </c:pt>
                <c:pt idx="6">
                  <c:v>-1429</c:v>
                </c:pt>
                <c:pt idx="7">
                  <c:v>-1067.5</c:v>
                </c:pt>
                <c:pt idx="8">
                  <c:v>-926.5</c:v>
                </c:pt>
                <c:pt idx="9">
                  <c:v>-334</c:v>
                </c:pt>
                <c:pt idx="10">
                  <c:v>-312.5</c:v>
                </c:pt>
                <c:pt idx="11">
                  <c:v>-311</c:v>
                </c:pt>
                <c:pt idx="12">
                  <c:v>-306</c:v>
                </c:pt>
                <c:pt idx="13">
                  <c:v>-286</c:v>
                </c:pt>
                <c:pt idx="14">
                  <c:v>-268.5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82-46EF-94FF-28D79C9F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993064"/>
        <c:axId val="1"/>
      </c:scatterChart>
      <c:valAx>
        <c:axId val="65799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99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073298764483702"/>
          <c:w val="0.714285714285714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142875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B79B38-2508-7E83-9CCA-63D2FDBA2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027" TargetMode="External"/><Relationship Id="rId7" Type="http://schemas.openxmlformats.org/officeDocument/2006/relationships/hyperlink" Target="http://vsolj.cetus-net.org/vsoljno51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solj.cetus-net.org/vsoljno51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713" TargetMode="External"/><Relationship Id="rId9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141</v>
      </c>
      <c r="F1" s="23" t="s">
        <v>48</v>
      </c>
      <c r="G1" s="24">
        <v>17.59243</v>
      </c>
      <c r="H1" s="25">
        <v>-9.5442</v>
      </c>
      <c r="I1" s="8">
        <v>42625.366000000002</v>
      </c>
      <c r="J1" s="8">
        <v>2.3437432999999999</v>
      </c>
      <c r="K1" s="6" t="s">
        <v>49</v>
      </c>
      <c r="L1" s="7"/>
      <c r="M1" s="8">
        <v>56066.843981782797</v>
      </c>
      <c r="N1" s="8">
        <v>2.3437298828180326</v>
      </c>
      <c r="O1" s="9" t="s">
        <v>49</v>
      </c>
    </row>
    <row r="2" spans="1:15" s="28" customFormat="1" ht="12.95" customHeight="1" x14ac:dyDescent="0.2">
      <c r="A2" s="28" t="s">
        <v>23</v>
      </c>
      <c r="B2" s="28" t="s">
        <v>49</v>
      </c>
      <c r="C2" s="29"/>
      <c r="D2" s="30"/>
    </row>
    <row r="3" spans="1:15" s="28" customFormat="1" ht="12.95" customHeight="1" thickBot="1" x14ac:dyDescent="0.25"/>
    <row r="4" spans="1:15" s="28" customFormat="1" ht="12.95" customHeight="1" thickTop="1" thickBot="1" x14ac:dyDescent="0.25">
      <c r="A4" s="31" t="s">
        <v>0</v>
      </c>
      <c r="C4" s="32">
        <v>42625.366000000002</v>
      </c>
      <c r="D4" s="33">
        <v>2.3437432999999999</v>
      </c>
    </row>
    <row r="5" spans="1:15" s="28" customFormat="1" ht="12.95" customHeight="1" thickTop="1" x14ac:dyDescent="0.2">
      <c r="A5" s="34" t="s">
        <v>28</v>
      </c>
      <c r="C5" s="35">
        <v>-9.5</v>
      </c>
      <c r="D5" s="28" t="s">
        <v>29</v>
      </c>
    </row>
    <row r="6" spans="1:15" s="28" customFormat="1" ht="12.95" customHeight="1" x14ac:dyDescent="0.2">
      <c r="A6" s="31" t="s">
        <v>1</v>
      </c>
    </row>
    <row r="7" spans="1:15" s="28" customFormat="1" ht="12.95" customHeight="1" x14ac:dyDescent="0.2">
      <c r="A7" s="28" t="s">
        <v>2</v>
      </c>
      <c r="C7" s="36">
        <v>56066.843981782797</v>
      </c>
      <c r="D7" s="37" t="s">
        <v>136</v>
      </c>
    </row>
    <row r="8" spans="1:15" s="28" customFormat="1" ht="12.95" customHeight="1" x14ac:dyDescent="0.2">
      <c r="A8" s="28" t="s">
        <v>3</v>
      </c>
      <c r="C8" s="36">
        <v>2.3437298828180326</v>
      </c>
      <c r="D8" s="37" t="s">
        <v>136</v>
      </c>
    </row>
    <row r="9" spans="1:15" s="28" customFormat="1" ht="12.95" customHeight="1" x14ac:dyDescent="0.2">
      <c r="A9" s="38" t="s">
        <v>32</v>
      </c>
      <c r="C9" s="39">
        <v>21</v>
      </c>
      <c r="D9" s="40" t="str">
        <f>"F"&amp;C9</f>
        <v>F21</v>
      </c>
      <c r="E9" s="41" t="str">
        <f>"G"&amp;C9</f>
        <v>G21</v>
      </c>
    </row>
    <row r="10" spans="1:15" s="28" customFormat="1" ht="12.95" customHeight="1" thickBot="1" x14ac:dyDescent="0.25">
      <c r="C10" s="42" t="s">
        <v>19</v>
      </c>
      <c r="D10" s="42" t="s">
        <v>20</v>
      </c>
    </row>
    <row r="11" spans="1:15" s="28" customFormat="1" ht="12.95" customHeight="1" x14ac:dyDescent="0.2">
      <c r="A11" s="28" t="s">
        <v>15</v>
      </c>
      <c r="C11" s="41">
        <f ca="1">INTERCEPT(INDIRECT($E$9):G992,INDIRECT($D$9):F992)</f>
        <v>5.7931031342537742E-2</v>
      </c>
      <c r="D11" s="30"/>
    </row>
    <row r="12" spans="1:15" s="28" customFormat="1" ht="12.95" customHeight="1" x14ac:dyDescent="0.2">
      <c r="A12" s="28" t="s">
        <v>16</v>
      </c>
      <c r="C12" s="41">
        <f ca="1">SLOPE(INDIRECT($E$9):G992,INDIRECT($D$9):F992)</f>
        <v>4.3609610031107143E-6</v>
      </c>
      <c r="D12" s="30"/>
    </row>
    <row r="13" spans="1:15" s="28" customFormat="1" ht="12.95" customHeight="1" x14ac:dyDescent="0.2">
      <c r="A13" s="28" t="s">
        <v>18</v>
      </c>
      <c r="C13" s="30" t="s">
        <v>13</v>
      </c>
    </row>
    <row r="14" spans="1:15" s="28" customFormat="1" ht="12.95" customHeight="1" x14ac:dyDescent="0.2"/>
    <row r="15" spans="1:15" s="28" customFormat="1" ht="12.95" customHeight="1" x14ac:dyDescent="0.2">
      <c r="A15" s="43" t="s">
        <v>17</v>
      </c>
      <c r="C15" s="44">
        <f ca="1">(C7+C11)+(C8+C12)*INT(MAX(F21:F3533))</f>
        <v>56066.901912814137</v>
      </c>
      <c r="E15" s="45" t="s">
        <v>34</v>
      </c>
      <c r="F15" s="46">
        <v>1</v>
      </c>
    </row>
    <row r="16" spans="1:15" s="28" customFormat="1" ht="12.95" customHeight="1" x14ac:dyDescent="0.2">
      <c r="A16" s="31" t="s">
        <v>4</v>
      </c>
      <c r="C16" s="47">
        <f ca="1">+C8+C12</f>
        <v>2.3437342437790356</v>
      </c>
      <c r="E16" s="45" t="s">
        <v>30</v>
      </c>
      <c r="F16" s="47">
        <f ca="1">NOW()+15018.5+$C$5/24</f>
        <v>60368.726024652773</v>
      </c>
    </row>
    <row r="17" spans="1:21" s="28" customFormat="1" ht="12.95" customHeight="1" thickBot="1" x14ac:dyDescent="0.25">
      <c r="A17" s="45" t="s">
        <v>27</v>
      </c>
      <c r="C17" s="28">
        <f>COUNT(C21:C2191)</f>
        <v>23</v>
      </c>
      <c r="E17" s="45" t="s">
        <v>35</v>
      </c>
      <c r="F17" s="48">
        <f ca="1">ROUND(2*(F16-$C$7)/$C$8,0)/2+F15</f>
        <v>1836.5</v>
      </c>
    </row>
    <row r="18" spans="1:21" s="28" customFormat="1" ht="12.95" customHeight="1" thickTop="1" thickBot="1" x14ac:dyDescent="0.25">
      <c r="A18" s="31" t="s">
        <v>5</v>
      </c>
      <c r="C18" s="49">
        <f ca="1">+C15</f>
        <v>56066.901912814137</v>
      </c>
      <c r="D18" s="50">
        <f ca="1">+C16</f>
        <v>2.3437342437790356</v>
      </c>
      <c r="E18" s="45" t="s">
        <v>36</v>
      </c>
      <c r="F18" s="41">
        <f ca="1">ROUND(2*(F16-$C$15)/$C$16,0)/2+F15</f>
        <v>1836.5</v>
      </c>
    </row>
    <row r="19" spans="1:21" s="28" customFormat="1" ht="12.95" customHeight="1" thickTop="1" x14ac:dyDescent="0.2">
      <c r="E19" s="45" t="s">
        <v>31</v>
      </c>
      <c r="F19" s="51">
        <f ca="1">+$C$15+$C$16*F18-15018.5-$C$5/24</f>
        <v>45353.065684847672</v>
      </c>
    </row>
    <row r="20" spans="1:21" s="28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2" t="s">
        <v>37</v>
      </c>
      <c r="I20" s="52" t="s">
        <v>38</v>
      </c>
      <c r="J20" s="52" t="s">
        <v>39</v>
      </c>
      <c r="K20" s="52" t="s">
        <v>40</v>
      </c>
      <c r="L20" s="52" t="s">
        <v>24</v>
      </c>
      <c r="M20" s="52" t="s">
        <v>25</v>
      </c>
      <c r="N20" s="52" t="s">
        <v>26</v>
      </c>
      <c r="O20" s="52" t="s">
        <v>22</v>
      </c>
      <c r="P20" s="53" t="s">
        <v>21</v>
      </c>
      <c r="Q20" s="42" t="s">
        <v>14</v>
      </c>
      <c r="U20" s="54" t="s">
        <v>33</v>
      </c>
    </row>
    <row r="21" spans="1:21" s="28" customFormat="1" ht="12.95" customHeight="1" x14ac:dyDescent="0.2">
      <c r="A21" s="55" t="s">
        <v>55</v>
      </c>
      <c r="B21" s="55" t="s">
        <v>135</v>
      </c>
      <c r="C21" s="56">
        <v>38901.49</v>
      </c>
      <c r="D21" s="36" t="s">
        <v>13</v>
      </c>
      <c r="E21" s="28">
        <f t="shared" ref="E21:E43" si="0">+(C21-C$7)/C$8</f>
        <v>-7323.9472294237576</v>
      </c>
      <c r="F21" s="28">
        <f t="shared" ref="F21:F43" si="1">ROUND(2*E21,0)/2</f>
        <v>-7324</v>
      </c>
      <c r="G21" s="28">
        <f t="shared" ref="G21:G43" si="2">+C21-(C$7+F21*C$8)</f>
        <v>0.12367997647379525</v>
      </c>
      <c r="H21" s="28">
        <f>+G21</f>
        <v>0.12367997647379525</v>
      </c>
      <c r="O21" s="28">
        <f t="shared" ref="O21:O43" ca="1" si="3">+C$11+C$12*$F21</f>
        <v>2.5991352955754873E-2</v>
      </c>
      <c r="Q21" s="57">
        <f t="shared" ref="Q21:Q43" si="4">+C21-15018.5</f>
        <v>23882.989999999998</v>
      </c>
    </row>
    <row r="22" spans="1:21" s="28" customFormat="1" ht="12.95" customHeight="1" x14ac:dyDescent="0.2">
      <c r="A22" s="55" t="s">
        <v>55</v>
      </c>
      <c r="B22" s="55" t="s">
        <v>135</v>
      </c>
      <c r="C22" s="56">
        <v>39262.49</v>
      </c>
      <c r="D22" s="36" t="s">
        <v>13</v>
      </c>
      <c r="E22" s="28">
        <f t="shared" si="0"/>
        <v>-7169.9192406838847</v>
      </c>
      <c r="F22" s="28">
        <f t="shared" si="1"/>
        <v>-7170</v>
      </c>
      <c r="G22" s="28">
        <f t="shared" si="2"/>
        <v>0.18927802249527304</v>
      </c>
      <c r="H22" s="28">
        <f>+G22</f>
        <v>0.18927802249527304</v>
      </c>
      <c r="O22" s="28">
        <f t="shared" ca="1" si="3"/>
        <v>2.6662940950233922E-2</v>
      </c>
      <c r="Q22" s="57">
        <f t="shared" si="4"/>
        <v>24243.989999999998</v>
      </c>
    </row>
    <row r="23" spans="1:21" s="28" customFormat="1" ht="12.95" customHeight="1" x14ac:dyDescent="0.2">
      <c r="A23" s="55" t="s">
        <v>55</v>
      </c>
      <c r="B23" s="55" t="s">
        <v>116</v>
      </c>
      <c r="C23" s="56">
        <v>39263.46</v>
      </c>
      <c r="D23" s="36" t="s">
        <v>13</v>
      </c>
      <c r="E23" s="28">
        <f t="shared" si="0"/>
        <v>-7169.5053704648326</v>
      </c>
      <c r="F23" s="28">
        <f t="shared" si="1"/>
        <v>-7169.5</v>
      </c>
      <c r="G23" s="28">
        <f t="shared" si="2"/>
        <v>-1.2586918914166745E-2</v>
      </c>
      <c r="H23" s="28">
        <f>+G23</f>
        <v>-1.2586918914166745E-2</v>
      </c>
      <c r="O23" s="28">
        <f t="shared" ca="1" si="3"/>
        <v>2.6665121430735475E-2</v>
      </c>
      <c r="Q23" s="57">
        <f t="shared" si="4"/>
        <v>24244.959999999999</v>
      </c>
    </row>
    <row r="24" spans="1:21" s="28" customFormat="1" ht="12.95" customHeight="1" x14ac:dyDescent="0.2">
      <c r="A24" s="28" t="s">
        <v>136</v>
      </c>
      <c r="C24" s="36">
        <v>42625.366000000002</v>
      </c>
      <c r="D24" s="36" t="s">
        <v>13</v>
      </c>
      <c r="E24" s="28">
        <f t="shared" si="0"/>
        <v>-5735.0798316490091</v>
      </c>
      <c r="F24" s="28">
        <f t="shared" si="1"/>
        <v>-5735</v>
      </c>
      <c r="G24" s="28">
        <f t="shared" si="2"/>
        <v>-0.18710382137942361</v>
      </c>
      <c r="H24" s="28">
        <f>+G24</f>
        <v>-0.18710382137942361</v>
      </c>
      <c r="O24" s="28">
        <f t="shared" ca="1" si="3"/>
        <v>3.2920919989697796E-2</v>
      </c>
      <c r="Q24" s="57">
        <f t="shared" si="4"/>
        <v>27606.866000000002</v>
      </c>
    </row>
    <row r="25" spans="1:21" s="28" customFormat="1" ht="12.95" customHeight="1" x14ac:dyDescent="0.2">
      <c r="A25" s="55" t="s">
        <v>137</v>
      </c>
      <c r="B25" s="55" t="s">
        <v>116</v>
      </c>
      <c r="C25" s="56">
        <v>51259.892200000002</v>
      </c>
      <c r="D25" s="36" t="s">
        <v>13</v>
      </c>
      <c r="E25" s="28">
        <f t="shared" si="0"/>
        <v>-2050.983697832557</v>
      </c>
      <c r="F25" s="28">
        <f t="shared" si="1"/>
        <v>-2051</v>
      </c>
      <c r="G25" s="28">
        <f t="shared" si="2"/>
        <v>3.8207876990782097E-2</v>
      </c>
      <c r="K25" s="28">
        <f>+G25</f>
        <v>3.8207876990782097E-2</v>
      </c>
      <c r="O25" s="28">
        <f t="shared" ca="1" si="3"/>
        <v>4.8986700325157666E-2</v>
      </c>
      <c r="Q25" s="57">
        <f t="shared" si="4"/>
        <v>36241.392200000002</v>
      </c>
    </row>
    <row r="26" spans="1:21" s="28" customFormat="1" ht="12.95" customHeight="1" x14ac:dyDescent="0.2">
      <c r="A26" s="55" t="s">
        <v>137</v>
      </c>
      <c r="B26" s="55" t="s">
        <v>135</v>
      </c>
      <c r="C26" s="56">
        <v>51307.752999999997</v>
      </c>
      <c r="D26" s="36" t="s">
        <v>13</v>
      </c>
      <c r="E26" s="28">
        <f t="shared" si="0"/>
        <v>-2030.5629145542177</v>
      </c>
      <c r="F26" s="28">
        <f t="shared" si="1"/>
        <v>-2030.5</v>
      </c>
      <c r="G26" s="28">
        <f t="shared" si="2"/>
        <v>-0.14745472078357125</v>
      </c>
      <c r="K26" s="28">
        <f>+G26</f>
        <v>-0.14745472078357125</v>
      </c>
      <c r="O26" s="28">
        <f t="shared" ca="1" si="3"/>
        <v>4.9076100025721436E-2</v>
      </c>
      <c r="Q26" s="57">
        <f t="shared" si="4"/>
        <v>36289.252999999997</v>
      </c>
    </row>
    <row r="27" spans="1:21" s="28" customFormat="1" ht="12.95" customHeight="1" x14ac:dyDescent="0.2">
      <c r="A27" s="55" t="s">
        <v>75</v>
      </c>
      <c r="B27" s="55" t="s">
        <v>116</v>
      </c>
      <c r="C27" s="56">
        <v>52717.627</v>
      </c>
      <c r="D27" s="36" t="s">
        <v>13</v>
      </c>
      <c r="E27" s="28">
        <f t="shared" si="0"/>
        <v>-1429.0115112394246</v>
      </c>
      <c r="F27" s="28">
        <f t="shared" si="1"/>
        <v>-1429</v>
      </c>
      <c r="G27" s="28">
        <f t="shared" si="2"/>
        <v>-2.6979235830367543E-2</v>
      </c>
      <c r="H27" s="28">
        <f>+G27</f>
        <v>-2.6979235830367543E-2</v>
      </c>
      <c r="O27" s="28">
        <f t="shared" ca="1" si="3"/>
        <v>5.1699218069092528E-2</v>
      </c>
      <c r="Q27" s="57">
        <f t="shared" si="4"/>
        <v>37699.127</v>
      </c>
    </row>
    <row r="28" spans="1:21" s="28" customFormat="1" ht="12.95" customHeight="1" x14ac:dyDescent="0.2">
      <c r="A28" s="55" t="s">
        <v>138</v>
      </c>
      <c r="B28" s="55" t="s">
        <v>116</v>
      </c>
      <c r="C28" s="56">
        <v>53565.456299999998</v>
      </c>
      <c r="D28" s="36" t="s">
        <v>13</v>
      </c>
      <c r="E28" s="28">
        <f t="shared" si="0"/>
        <v>-1067.2679049409921</v>
      </c>
      <c r="F28" s="28">
        <f t="shared" si="1"/>
        <v>-1067.5</v>
      </c>
      <c r="G28" s="28">
        <f t="shared" si="2"/>
        <v>0.54396812545019202</v>
      </c>
      <c r="J28" s="28">
        <f>+G28</f>
        <v>0.54396812545019202</v>
      </c>
      <c r="O28" s="28">
        <f t="shared" ca="1" si="3"/>
        <v>5.3275705471717054E-2</v>
      </c>
      <c r="Q28" s="57">
        <f t="shared" si="4"/>
        <v>38546.956299999998</v>
      </c>
    </row>
    <row r="29" spans="1:21" s="28" customFormat="1" ht="12.95" customHeight="1" x14ac:dyDescent="0.2">
      <c r="A29" s="55" t="s">
        <v>138</v>
      </c>
      <c r="B29" s="55" t="s">
        <v>116</v>
      </c>
      <c r="C29" s="56">
        <v>53895.478300000002</v>
      </c>
      <c r="D29" s="36" t="s">
        <v>13</v>
      </c>
      <c r="E29" s="28">
        <f t="shared" si="0"/>
        <v>-926.45730965037967</v>
      </c>
      <c r="F29" s="28">
        <f t="shared" si="1"/>
        <v>-926.5</v>
      </c>
      <c r="G29" s="28">
        <f t="shared" si="2"/>
        <v>0.10005464811547427</v>
      </c>
      <c r="J29" s="28">
        <f>+G29</f>
        <v>0.10005464811547427</v>
      </c>
      <c r="O29" s="28">
        <f t="shared" ca="1" si="3"/>
        <v>5.3890600973155664E-2</v>
      </c>
      <c r="Q29" s="57">
        <f t="shared" si="4"/>
        <v>38876.978300000002</v>
      </c>
    </row>
    <row r="30" spans="1:21" s="28" customFormat="1" ht="12.95" customHeight="1" x14ac:dyDescent="0.2">
      <c r="A30" s="55" t="s">
        <v>139</v>
      </c>
      <c r="B30" s="55" t="s">
        <v>116</v>
      </c>
      <c r="C30" s="56">
        <v>55283.932999999997</v>
      </c>
      <c r="D30" s="36" t="s">
        <v>13</v>
      </c>
      <c r="E30" s="28">
        <f t="shared" si="0"/>
        <v>-334.04488611181165</v>
      </c>
      <c r="F30" s="28">
        <f t="shared" si="1"/>
        <v>-334</v>
      </c>
      <c r="G30" s="28">
        <f t="shared" si="2"/>
        <v>-0.10520092157821637</v>
      </c>
      <c r="K30" s="28">
        <f t="shared" ref="K30:K43" si="5">+G30</f>
        <v>-0.10520092157821637</v>
      </c>
      <c r="O30" s="28">
        <f t="shared" ca="1" si="3"/>
        <v>5.6474470367498766E-2</v>
      </c>
      <c r="Q30" s="57">
        <f t="shared" si="4"/>
        <v>40265.432999999997</v>
      </c>
    </row>
    <row r="31" spans="1:21" s="28" customFormat="1" ht="12.95" customHeight="1" x14ac:dyDescent="0.2">
      <c r="A31" s="55" t="s">
        <v>94</v>
      </c>
      <c r="B31" s="55" t="s">
        <v>116</v>
      </c>
      <c r="C31" s="56">
        <v>55334.072800000002</v>
      </c>
      <c r="D31" s="36" t="s">
        <v>13</v>
      </c>
      <c r="E31" s="28">
        <f t="shared" si="0"/>
        <v>-312.65172115386099</v>
      </c>
      <c r="F31" s="28">
        <f t="shared" si="1"/>
        <v>-312.5</v>
      </c>
      <c r="G31" s="28">
        <f t="shared" si="2"/>
        <v>-0.35559340215695556</v>
      </c>
      <c r="K31" s="28">
        <f t="shared" si="5"/>
        <v>-0.35559340215695556</v>
      </c>
      <c r="O31" s="28">
        <f t="shared" ca="1" si="3"/>
        <v>5.6568231029065642E-2</v>
      </c>
      <c r="Q31" s="57">
        <f t="shared" si="4"/>
        <v>40315.572800000002</v>
      </c>
    </row>
    <row r="32" spans="1:21" s="28" customFormat="1" ht="12.95" customHeight="1" x14ac:dyDescent="0.2">
      <c r="A32" s="55" t="s">
        <v>94</v>
      </c>
      <c r="B32" s="55" t="s">
        <v>135</v>
      </c>
      <c r="C32" s="56">
        <v>55338.1826</v>
      </c>
      <c r="D32" s="36" t="s">
        <v>13</v>
      </c>
      <c r="E32" s="28">
        <f t="shared" si="0"/>
        <v>-310.89819143606911</v>
      </c>
      <c r="F32" s="28">
        <f t="shared" si="1"/>
        <v>-311</v>
      </c>
      <c r="G32" s="28">
        <f t="shared" si="2"/>
        <v>0.23861177360959118</v>
      </c>
      <c r="K32" s="28">
        <f t="shared" si="5"/>
        <v>0.23861177360959118</v>
      </c>
      <c r="O32" s="28">
        <f t="shared" ca="1" si="3"/>
        <v>5.6574772470570307E-2</v>
      </c>
      <c r="Q32" s="57">
        <f t="shared" si="4"/>
        <v>40319.6826</v>
      </c>
    </row>
    <row r="33" spans="1:17" x14ac:dyDescent="0.2">
      <c r="A33" s="26" t="s">
        <v>94</v>
      </c>
      <c r="B33" s="26" t="s">
        <v>135</v>
      </c>
      <c r="C33" s="27">
        <v>55349.1129</v>
      </c>
      <c r="D33" s="4" t="s">
        <v>13</v>
      </c>
      <c r="E33">
        <f t="shared" si="0"/>
        <v>-306.23455673988229</v>
      </c>
      <c r="F33">
        <f t="shared" si="1"/>
        <v>-306</v>
      </c>
      <c r="G33">
        <f t="shared" si="2"/>
        <v>-0.54973764048190787</v>
      </c>
      <c r="K33">
        <f t="shared" si="5"/>
        <v>-0.54973764048190787</v>
      </c>
      <c r="O33">
        <f t="shared" ca="1" si="3"/>
        <v>5.6596577275585862E-2</v>
      </c>
      <c r="Q33" s="2">
        <f t="shared" si="4"/>
        <v>40330.6129</v>
      </c>
    </row>
    <row r="34" spans="1:17" x14ac:dyDescent="0.2">
      <c r="A34" s="26" t="s">
        <v>94</v>
      </c>
      <c r="B34" s="26" t="s">
        <v>116</v>
      </c>
      <c r="C34" s="27">
        <v>55396.063399999999</v>
      </c>
      <c r="D34" s="4" t="s">
        <v>13</v>
      </c>
      <c r="E34">
        <f t="shared" si="0"/>
        <v>-286.20217146195637</v>
      </c>
      <c r="F34">
        <f t="shared" si="1"/>
        <v>-286</v>
      </c>
      <c r="G34">
        <f t="shared" si="2"/>
        <v>-0.47383529684157111</v>
      </c>
      <c r="K34">
        <f t="shared" si="5"/>
        <v>-0.47383529684157111</v>
      </c>
      <c r="O34">
        <f t="shared" ca="1" si="3"/>
        <v>5.668379649564808E-2</v>
      </c>
      <c r="Q34" s="2">
        <f t="shared" si="4"/>
        <v>40377.563399999999</v>
      </c>
    </row>
    <row r="35" spans="1:17" x14ac:dyDescent="0.2">
      <c r="A35" s="26" t="s">
        <v>94</v>
      </c>
      <c r="B35" s="26" t="s">
        <v>116</v>
      </c>
      <c r="C35" s="27">
        <v>55438</v>
      </c>
      <c r="D35" s="4" t="s">
        <v>13</v>
      </c>
      <c r="E35">
        <f t="shared" si="0"/>
        <v>-268.3090685461982</v>
      </c>
      <c r="F35">
        <f t="shared" si="1"/>
        <v>-268.5</v>
      </c>
      <c r="G35">
        <f t="shared" si="2"/>
        <v>0.44749175384640694</v>
      </c>
      <c r="K35">
        <f t="shared" si="5"/>
        <v>0.44749175384640694</v>
      </c>
      <c r="O35">
        <f t="shared" ca="1" si="3"/>
        <v>5.6760113313202513E-2</v>
      </c>
      <c r="Q35" s="2">
        <f t="shared" si="4"/>
        <v>40419.5</v>
      </c>
    </row>
    <row r="36" spans="1:17" x14ac:dyDescent="0.2">
      <c r="A36" s="26" t="s">
        <v>140</v>
      </c>
      <c r="B36" s="26" t="s">
        <v>116</v>
      </c>
      <c r="C36" s="27">
        <v>56010.526870000002</v>
      </c>
      <c r="D36" s="4" t="s">
        <v>13</v>
      </c>
      <c r="E36">
        <f t="shared" si="0"/>
        <v>-24.028840608151079</v>
      </c>
      <c r="F36">
        <f t="shared" si="1"/>
        <v>-24</v>
      </c>
      <c r="G36">
        <f t="shared" si="2"/>
        <v>-6.7594595158880111E-2</v>
      </c>
      <c r="K36">
        <f t="shared" si="5"/>
        <v>-6.7594595158880111E-2</v>
      </c>
      <c r="O36">
        <f t="shared" ca="1" si="3"/>
        <v>5.7826368278463082E-2</v>
      </c>
      <c r="Q36" s="2">
        <f t="shared" si="4"/>
        <v>40992.026870000002</v>
      </c>
    </row>
    <row r="37" spans="1:17" x14ac:dyDescent="0.2">
      <c r="A37" s="26" t="s">
        <v>140</v>
      </c>
      <c r="B37" s="26" t="s">
        <v>116</v>
      </c>
      <c r="C37" s="27">
        <v>56010.527710000002</v>
      </c>
      <c r="D37" s="4" t="s">
        <v>13</v>
      </c>
      <c r="E37">
        <f t="shared" si="0"/>
        <v>-24.028482205074525</v>
      </c>
      <c r="F37">
        <f t="shared" si="1"/>
        <v>-24</v>
      </c>
      <c r="G37">
        <f t="shared" si="2"/>
        <v>-6.6754595158272423E-2</v>
      </c>
      <c r="K37">
        <f t="shared" si="5"/>
        <v>-6.6754595158272423E-2</v>
      </c>
      <c r="O37">
        <f t="shared" ca="1" si="3"/>
        <v>5.7826368278463082E-2</v>
      </c>
      <c r="Q37" s="2">
        <f t="shared" si="4"/>
        <v>40992.027710000002</v>
      </c>
    </row>
    <row r="38" spans="1:17" x14ac:dyDescent="0.2">
      <c r="A38" s="26" t="s">
        <v>140</v>
      </c>
      <c r="B38" s="26" t="s">
        <v>116</v>
      </c>
      <c r="C38" s="27">
        <v>56010.528539999999</v>
      </c>
      <c r="D38" s="4" t="s">
        <v>13</v>
      </c>
      <c r="E38">
        <f t="shared" si="0"/>
        <v>-24.02812806870271</v>
      </c>
      <c r="F38">
        <f t="shared" si="1"/>
        <v>-24</v>
      </c>
      <c r="G38">
        <f t="shared" si="2"/>
        <v>-6.5924595161050092E-2</v>
      </c>
      <c r="K38">
        <f t="shared" si="5"/>
        <v>-6.5924595161050092E-2</v>
      </c>
      <c r="O38">
        <f t="shared" ca="1" si="3"/>
        <v>5.7826368278463082E-2</v>
      </c>
      <c r="Q38" s="2">
        <f t="shared" si="4"/>
        <v>40992.028539999999</v>
      </c>
    </row>
    <row r="39" spans="1:17" x14ac:dyDescent="0.2">
      <c r="A39" s="26" t="s">
        <v>140</v>
      </c>
      <c r="B39" s="26" t="s">
        <v>116</v>
      </c>
      <c r="C39" s="27">
        <v>56010.529399999999</v>
      </c>
      <c r="D39" s="4" t="s">
        <v>13</v>
      </c>
      <c r="E39">
        <f t="shared" si="0"/>
        <v>-24.027761132219794</v>
      </c>
      <c r="F39">
        <f t="shared" si="1"/>
        <v>-24</v>
      </c>
      <c r="G39">
        <f t="shared" si="2"/>
        <v>-6.5064595160947647E-2</v>
      </c>
      <c r="K39">
        <f t="shared" si="5"/>
        <v>-6.5064595160947647E-2</v>
      </c>
      <c r="O39">
        <f t="shared" ca="1" si="3"/>
        <v>5.7826368278463082E-2</v>
      </c>
      <c r="Q39" s="2">
        <f t="shared" si="4"/>
        <v>40992.029399999999</v>
      </c>
    </row>
    <row r="40" spans="1:17" x14ac:dyDescent="0.2">
      <c r="A40" s="26" t="s">
        <v>140</v>
      </c>
      <c r="B40" s="26" t="s">
        <v>135</v>
      </c>
      <c r="C40" s="27">
        <v>56068.418590000001</v>
      </c>
      <c r="D40" s="4" t="s">
        <v>13</v>
      </c>
      <c r="E40">
        <f t="shared" si="0"/>
        <v>0.67183860595370759</v>
      </c>
      <c r="F40">
        <f t="shared" si="1"/>
        <v>0.5</v>
      </c>
      <c r="G40">
        <f t="shared" si="2"/>
        <v>0.40274327579390956</v>
      </c>
      <c r="K40">
        <f t="shared" si="5"/>
        <v>0.40274327579390956</v>
      </c>
      <c r="O40">
        <f t="shared" ca="1" si="3"/>
        <v>5.7933211823039295E-2</v>
      </c>
      <c r="Q40" s="2">
        <f t="shared" si="4"/>
        <v>41049.918590000001</v>
      </c>
    </row>
    <row r="41" spans="1:17" x14ac:dyDescent="0.2">
      <c r="A41" s="26" t="s">
        <v>140</v>
      </c>
      <c r="B41" s="26" t="s">
        <v>135</v>
      </c>
      <c r="C41" s="27">
        <v>56068.419289999998</v>
      </c>
      <c r="D41" s="4" t="s">
        <v>13</v>
      </c>
      <c r="E41">
        <f t="shared" si="0"/>
        <v>0.67213727518261501</v>
      </c>
      <c r="F41">
        <f t="shared" si="1"/>
        <v>0.5</v>
      </c>
      <c r="G41">
        <f t="shared" si="2"/>
        <v>0.40344327579077799</v>
      </c>
      <c r="K41">
        <f t="shared" si="5"/>
        <v>0.40344327579077799</v>
      </c>
      <c r="O41">
        <f t="shared" ca="1" si="3"/>
        <v>5.7933211823039295E-2</v>
      </c>
      <c r="Q41" s="2">
        <f t="shared" si="4"/>
        <v>41049.919289999998</v>
      </c>
    </row>
    <row r="42" spans="1:17" x14ac:dyDescent="0.2">
      <c r="A42" s="26" t="s">
        <v>140</v>
      </c>
      <c r="B42" s="26" t="s">
        <v>135</v>
      </c>
      <c r="C42" s="27">
        <v>56068.419320000001</v>
      </c>
      <c r="D42" s="4" t="s">
        <v>13</v>
      </c>
      <c r="E42">
        <f t="shared" si="0"/>
        <v>0.6721500752937114</v>
      </c>
      <c r="F42">
        <f t="shared" si="1"/>
        <v>0.5</v>
      </c>
      <c r="G42">
        <f t="shared" si="2"/>
        <v>0.4034732757936581</v>
      </c>
      <c r="K42">
        <f t="shared" si="5"/>
        <v>0.4034732757936581</v>
      </c>
      <c r="O42">
        <f t="shared" ca="1" si="3"/>
        <v>5.7933211823039295E-2</v>
      </c>
      <c r="Q42" s="2">
        <f t="shared" si="4"/>
        <v>41049.919320000001</v>
      </c>
    </row>
    <row r="43" spans="1:17" x14ac:dyDescent="0.2">
      <c r="A43" s="26" t="s">
        <v>140</v>
      </c>
      <c r="B43" s="26" t="s">
        <v>135</v>
      </c>
      <c r="C43" s="27">
        <v>56068.420590000002</v>
      </c>
      <c r="D43" s="4" t="s">
        <v>13</v>
      </c>
      <c r="E43">
        <f t="shared" si="0"/>
        <v>0.67269194661172005</v>
      </c>
      <c r="F43">
        <f t="shared" si="1"/>
        <v>0.5</v>
      </c>
      <c r="G43">
        <f t="shared" si="2"/>
        <v>0.40474327579431701</v>
      </c>
      <c r="K43">
        <f t="shared" si="5"/>
        <v>0.40474327579431701</v>
      </c>
      <c r="O43">
        <f t="shared" ca="1" si="3"/>
        <v>5.7933211823039295E-2</v>
      </c>
      <c r="Q43" s="2">
        <f t="shared" si="4"/>
        <v>41049.920590000002</v>
      </c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topLeftCell="A8" workbookViewId="0">
      <selection activeCell="A11" sqref="A11:C3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41</v>
      </c>
      <c r="I1" s="11" t="s">
        <v>42</v>
      </c>
      <c r="J1" s="12" t="s">
        <v>40</v>
      </c>
    </row>
    <row r="2" spans="1:16" x14ac:dyDescent="0.2">
      <c r="I2" s="13" t="s">
        <v>43</v>
      </c>
      <c r="J2" s="14" t="s">
        <v>39</v>
      </c>
    </row>
    <row r="3" spans="1:16" x14ac:dyDescent="0.2">
      <c r="A3" s="15" t="s">
        <v>44</v>
      </c>
      <c r="I3" s="13" t="s">
        <v>45</v>
      </c>
      <c r="J3" s="14" t="s">
        <v>37</v>
      </c>
    </row>
    <row r="4" spans="1:16" x14ac:dyDescent="0.2">
      <c r="I4" s="13" t="s">
        <v>46</v>
      </c>
      <c r="J4" s="14" t="s">
        <v>37</v>
      </c>
    </row>
    <row r="5" spans="1:16" ht="13.5" thickBot="1" x14ac:dyDescent="0.25">
      <c r="I5" s="16" t="s">
        <v>47</v>
      </c>
      <c r="J5" s="17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32" si="0">P11</f>
        <v> AN 290.282 </v>
      </c>
      <c r="B11" s="3" t="str">
        <f t="shared" ref="B11:B32" si="1">IF(H11=INT(H11),"I","II")</f>
        <v>II</v>
      </c>
      <c r="C11" s="4">
        <f t="shared" ref="C11:C32" si="2">1*G11</f>
        <v>38901.49</v>
      </c>
      <c r="D11" s="5" t="str">
        <f t="shared" ref="D11:D32" si="3">VLOOKUP(F11,I$1:J$5,2,FALSE)</f>
        <v>vis</v>
      </c>
      <c r="E11" s="18">
        <f>VLOOKUP(C11,Active!C$21:E$973,3,FALSE)</f>
        <v>-7323.9472294237576</v>
      </c>
      <c r="F11" s="3" t="s">
        <v>47</v>
      </c>
      <c r="G11" s="5" t="str">
        <f t="shared" ref="G11:G32" si="4">MID(I11,3,LEN(I11)-3)</f>
        <v>38901.49</v>
      </c>
      <c r="H11" s="4">
        <f t="shared" ref="H11:H32" si="5">1*K11</f>
        <v>-14917.5</v>
      </c>
      <c r="I11" s="19" t="s">
        <v>50</v>
      </c>
      <c r="J11" s="20" t="s">
        <v>51</v>
      </c>
      <c r="K11" s="19">
        <v>-14917.5</v>
      </c>
      <c r="L11" s="19" t="s">
        <v>52</v>
      </c>
      <c r="M11" s="20" t="s">
        <v>53</v>
      </c>
      <c r="N11" s="20"/>
      <c r="O11" s="21" t="s">
        <v>54</v>
      </c>
      <c r="P11" s="21" t="s">
        <v>55</v>
      </c>
    </row>
    <row r="12" spans="1:16" ht="12.75" customHeight="1" thickBot="1" x14ac:dyDescent="0.25">
      <c r="A12" s="4" t="str">
        <f t="shared" si="0"/>
        <v> AN 290.282 </v>
      </c>
      <c r="B12" s="3" t="str">
        <f t="shared" si="1"/>
        <v>II</v>
      </c>
      <c r="C12" s="4">
        <f t="shared" si="2"/>
        <v>39262.49</v>
      </c>
      <c r="D12" s="5" t="str">
        <f t="shared" si="3"/>
        <v>vis</v>
      </c>
      <c r="E12" s="18">
        <f>VLOOKUP(C12,Active!C$21:E$973,3,FALSE)</f>
        <v>-7169.9192406838847</v>
      </c>
      <c r="F12" s="3" t="s">
        <v>47</v>
      </c>
      <c r="G12" s="5" t="str">
        <f t="shared" si="4"/>
        <v>39262.49</v>
      </c>
      <c r="H12" s="4">
        <f t="shared" si="5"/>
        <v>-14521.5</v>
      </c>
      <c r="I12" s="19" t="s">
        <v>56</v>
      </c>
      <c r="J12" s="20" t="s">
        <v>57</v>
      </c>
      <c r="K12" s="19">
        <v>-14521.5</v>
      </c>
      <c r="L12" s="19" t="s">
        <v>58</v>
      </c>
      <c r="M12" s="20" t="s">
        <v>53</v>
      </c>
      <c r="N12" s="20"/>
      <c r="O12" s="21" t="s">
        <v>54</v>
      </c>
      <c r="P12" s="21" t="s">
        <v>55</v>
      </c>
    </row>
    <row r="13" spans="1:16" ht="12.75" customHeight="1" thickBot="1" x14ac:dyDescent="0.25">
      <c r="A13" s="4" t="str">
        <f t="shared" si="0"/>
        <v> AN 290.282 </v>
      </c>
      <c r="B13" s="3" t="str">
        <f t="shared" si="1"/>
        <v>I</v>
      </c>
      <c r="C13" s="4">
        <f t="shared" si="2"/>
        <v>39263.46</v>
      </c>
      <c r="D13" s="5" t="str">
        <f t="shared" si="3"/>
        <v>vis</v>
      </c>
      <c r="E13" s="18">
        <f>VLOOKUP(C13,Active!C$21:E$973,3,FALSE)</f>
        <v>-7169.5053704648326</v>
      </c>
      <c r="F13" s="3" t="s">
        <v>47</v>
      </c>
      <c r="G13" s="5" t="str">
        <f t="shared" si="4"/>
        <v>39263.46</v>
      </c>
      <c r="H13" s="4">
        <f t="shared" si="5"/>
        <v>-14520</v>
      </c>
      <c r="I13" s="19" t="s">
        <v>59</v>
      </c>
      <c r="J13" s="20" t="s">
        <v>60</v>
      </c>
      <c r="K13" s="19">
        <v>-14520</v>
      </c>
      <c r="L13" s="19" t="s">
        <v>61</v>
      </c>
      <c r="M13" s="20" t="s">
        <v>53</v>
      </c>
      <c r="N13" s="20"/>
      <c r="O13" s="21" t="s">
        <v>54</v>
      </c>
      <c r="P13" s="21" t="s">
        <v>55</v>
      </c>
    </row>
    <row r="14" spans="1:16" ht="12.75" customHeight="1" thickBot="1" x14ac:dyDescent="0.25">
      <c r="A14" s="4" t="str">
        <f t="shared" si="0"/>
        <v>IBVS 5027 </v>
      </c>
      <c r="B14" s="3" t="str">
        <f t="shared" si="1"/>
        <v>I</v>
      </c>
      <c r="C14" s="4">
        <f t="shared" si="2"/>
        <v>51259.892200000002</v>
      </c>
      <c r="D14" s="5" t="str">
        <f t="shared" si="3"/>
        <v>vis</v>
      </c>
      <c r="E14" s="18">
        <f>VLOOKUP(C14,Active!C$21:E$973,3,FALSE)</f>
        <v>-2050.983697832557</v>
      </c>
      <c r="F14" s="3" t="s">
        <v>47</v>
      </c>
      <c r="G14" s="5" t="str">
        <f t="shared" si="4"/>
        <v>51259.8922</v>
      </c>
      <c r="H14" s="4">
        <f t="shared" si="5"/>
        <v>-1361</v>
      </c>
      <c r="I14" s="19" t="s">
        <v>62</v>
      </c>
      <c r="J14" s="20" t="s">
        <v>63</v>
      </c>
      <c r="K14" s="19">
        <v>-1361</v>
      </c>
      <c r="L14" s="19" t="s">
        <v>64</v>
      </c>
      <c r="M14" s="20" t="s">
        <v>65</v>
      </c>
      <c r="N14" s="20" t="s">
        <v>66</v>
      </c>
      <c r="O14" s="21" t="s">
        <v>67</v>
      </c>
      <c r="P14" s="22" t="s">
        <v>68</v>
      </c>
    </row>
    <row r="15" spans="1:16" ht="12.75" customHeight="1" thickBot="1" x14ac:dyDescent="0.25">
      <c r="A15" s="4" t="str">
        <f t="shared" si="0"/>
        <v>IBVS 5027 </v>
      </c>
      <c r="B15" s="3" t="str">
        <f t="shared" si="1"/>
        <v>II</v>
      </c>
      <c r="C15" s="4">
        <f t="shared" si="2"/>
        <v>51307.752999999997</v>
      </c>
      <c r="D15" s="5" t="str">
        <f t="shared" si="3"/>
        <v>vis</v>
      </c>
      <c r="E15" s="18">
        <f>VLOOKUP(C15,Active!C$21:E$973,3,FALSE)</f>
        <v>-2030.5629145542177</v>
      </c>
      <c r="F15" s="3" t="s">
        <v>47</v>
      </c>
      <c r="G15" s="5" t="str">
        <f t="shared" si="4"/>
        <v>51307.753</v>
      </c>
      <c r="H15" s="4">
        <f t="shared" si="5"/>
        <v>-1308.5</v>
      </c>
      <c r="I15" s="19" t="s">
        <v>69</v>
      </c>
      <c r="J15" s="20" t="s">
        <v>70</v>
      </c>
      <c r="K15" s="19">
        <v>-1308.5</v>
      </c>
      <c r="L15" s="19" t="s">
        <v>71</v>
      </c>
      <c r="M15" s="20" t="s">
        <v>65</v>
      </c>
      <c r="N15" s="20" t="s">
        <v>66</v>
      </c>
      <c r="O15" s="21" t="s">
        <v>67</v>
      </c>
      <c r="P15" s="22" t="s">
        <v>68</v>
      </c>
    </row>
    <row r="16" spans="1:16" ht="12.75" customHeight="1" thickBot="1" x14ac:dyDescent="0.25">
      <c r="A16" s="4" t="str">
        <f t="shared" si="0"/>
        <v> BBS 129 </v>
      </c>
      <c r="B16" s="3" t="str">
        <f t="shared" si="1"/>
        <v>I</v>
      </c>
      <c r="C16" s="4">
        <f t="shared" si="2"/>
        <v>52717.627</v>
      </c>
      <c r="D16" s="5" t="str">
        <f t="shared" si="3"/>
        <v>vis</v>
      </c>
      <c r="E16" s="18">
        <f>VLOOKUP(C16,Active!C$21:E$973,3,FALSE)</f>
        <v>-1429.0115112394246</v>
      </c>
      <c r="F16" s="3" t="s">
        <v>47</v>
      </c>
      <c r="G16" s="5" t="str">
        <f t="shared" si="4"/>
        <v>52717.627</v>
      </c>
      <c r="H16" s="4">
        <f t="shared" si="5"/>
        <v>238</v>
      </c>
      <c r="I16" s="19" t="s">
        <v>72</v>
      </c>
      <c r="J16" s="20" t="s">
        <v>73</v>
      </c>
      <c r="K16" s="19">
        <v>238</v>
      </c>
      <c r="L16" s="19" t="s">
        <v>74</v>
      </c>
      <c r="M16" s="20" t="s">
        <v>65</v>
      </c>
      <c r="N16" s="20" t="s">
        <v>66</v>
      </c>
      <c r="O16" s="21" t="s">
        <v>67</v>
      </c>
      <c r="P16" s="21" t="s">
        <v>75</v>
      </c>
    </row>
    <row r="17" spans="1:16" ht="12.75" customHeight="1" thickBot="1" x14ac:dyDescent="0.25">
      <c r="A17" s="4" t="str">
        <f t="shared" si="0"/>
        <v>IBVS 5713 </v>
      </c>
      <c r="B17" s="3" t="str">
        <f t="shared" si="1"/>
        <v>I</v>
      </c>
      <c r="C17" s="4">
        <f t="shared" si="2"/>
        <v>53565.456299999998</v>
      </c>
      <c r="D17" s="5" t="str">
        <f t="shared" si="3"/>
        <v>vis</v>
      </c>
      <c r="E17" s="18">
        <f>VLOOKUP(C17,Active!C$21:E$973,3,FALSE)</f>
        <v>-1067.2679049409921</v>
      </c>
      <c r="F17" s="3" t="s">
        <v>47</v>
      </c>
      <c r="G17" s="5" t="str">
        <f t="shared" si="4"/>
        <v>53565.4563</v>
      </c>
      <c r="H17" s="4">
        <f t="shared" si="5"/>
        <v>1168</v>
      </c>
      <c r="I17" s="19" t="s">
        <v>76</v>
      </c>
      <c r="J17" s="20" t="s">
        <v>77</v>
      </c>
      <c r="K17" s="19">
        <v>1168</v>
      </c>
      <c r="L17" s="19" t="s">
        <v>78</v>
      </c>
      <c r="M17" s="20" t="s">
        <v>65</v>
      </c>
      <c r="N17" s="20" t="s">
        <v>66</v>
      </c>
      <c r="O17" s="21" t="s">
        <v>79</v>
      </c>
      <c r="P17" s="22" t="s">
        <v>80</v>
      </c>
    </row>
    <row r="18" spans="1:16" ht="12.75" customHeight="1" thickBot="1" x14ac:dyDescent="0.25">
      <c r="A18" s="4" t="str">
        <f t="shared" si="0"/>
        <v>IBVS 5713 </v>
      </c>
      <c r="B18" s="3" t="str">
        <f t="shared" si="1"/>
        <v>I</v>
      </c>
      <c r="C18" s="4">
        <f t="shared" si="2"/>
        <v>53895.478300000002</v>
      </c>
      <c r="D18" s="5" t="str">
        <f t="shared" si="3"/>
        <v>vis</v>
      </c>
      <c r="E18" s="18">
        <f>VLOOKUP(C18,Active!C$21:E$973,3,FALSE)</f>
        <v>-926.45730965037967</v>
      </c>
      <c r="F18" s="3" t="s">
        <v>47</v>
      </c>
      <c r="G18" s="5" t="str">
        <f t="shared" si="4"/>
        <v>53895.4783</v>
      </c>
      <c r="H18" s="4">
        <f t="shared" si="5"/>
        <v>1530</v>
      </c>
      <c r="I18" s="19" t="s">
        <v>81</v>
      </c>
      <c r="J18" s="20" t="s">
        <v>82</v>
      </c>
      <c r="K18" s="19">
        <v>1530</v>
      </c>
      <c r="L18" s="19" t="s">
        <v>83</v>
      </c>
      <c r="M18" s="20" t="s">
        <v>65</v>
      </c>
      <c r="N18" s="20" t="s">
        <v>66</v>
      </c>
      <c r="O18" s="21" t="s">
        <v>79</v>
      </c>
      <c r="P18" s="22" t="s">
        <v>80</v>
      </c>
    </row>
    <row r="19" spans="1:16" ht="12.75" customHeight="1" thickBot="1" x14ac:dyDescent="0.25">
      <c r="A19" s="4" t="str">
        <f t="shared" si="0"/>
        <v>IBVS 5945 </v>
      </c>
      <c r="B19" s="3" t="str">
        <f t="shared" si="1"/>
        <v>I</v>
      </c>
      <c r="C19" s="4">
        <f t="shared" si="2"/>
        <v>55283.932999999997</v>
      </c>
      <c r="D19" s="5" t="str">
        <f t="shared" si="3"/>
        <v>vis</v>
      </c>
      <c r="E19" s="18">
        <f>VLOOKUP(C19,Active!C$21:E$973,3,FALSE)</f>
        <v>-334.04488611181165</v>
      </c>
      <c r="F19" s="3" t="s">
        <v>47</v>
      </c>
      <c r="G19" s="5" t="str">
        <f t="shared" si="4"/>
        <v>55283.933</v>
      </c>
      <c r="H19" s="4">
        <f t="shared" si="5"/>
        <v>3053</v>
      </c>
      <c r="I19" s="19" t="s">
        <v>84</v>
      </c>
      <c r="J19" s="20" t="s">
        <v>85</v>
      </c>
      <c r="K19" s="19">
        <v>3053</v>
      </c>
      <c r="L19" s="19" t="s">
        <v>86</v>
      </c>
      <c r="M19" s="20" t="s">
        <v>87</v>
      </c>
      <c r="N19" s="20" t="s">
        <v>47</v>
      </c>
      <c r="O19" s="21" t="s">
        <v>67</v>
      </c>
      <c r="P19" s="22" t="s">
        <v>88</v>
      </c>
    </row>
    <row r="20" spans="1:16" ht="12.75" customHeight="1" thickBot="1" x14ac:dyDescent="0.25">
      <c r="A20" s="4" t="str">
        <f t="shared" si="0"/>
        <v>VSB 51 </v>
      </c>
      <c r="B20" s="3" t="str">
        <f t="shared" si="1"/>
        <v>I</v>
      </c>
      <c r="C20" s="4">
        <f t="shared" si="2"/>
        <v>55334.072800000002</v>
      </c>
      <c r="D20" s="5" t="str">
        <f t="shared" si="3"/>
        <v>vis</v>
      </c>
      <c r="E20" s="18">
        <f>VLOOKUP(C20,Active!C$21:E$973,3,FALSE)</f>
        <v>-312.65172115386099</v>
      </c>
      <c r="F20" s="3" t="s">
        <v>47</v>
      </c>
      <c r="G20" s="5" t="str">
        <f t="shared" si="4"/>
        <v>55334.0728</v>
      </c>
      <c r="H20" s="4">
        <f t="shared" si="5"/>
        <v>3108</v>
      </c>
      <c r="I20" s="19" t="s">
        <v>89</v>
      </c>
      <c r="J20" s="20" t="s">
        <v>90</v>
      </c>
      <c r="K20" s="19">
        <v>3108</v>
      </c>
      <c r="L20" s="19" t="s">
        <v>91</v>
      </c>
      <c r="M20" s="20" t="s">
        <v>87</v>
      </c>
      <c r="N20" s="20" t="s">
        <v>92</v>
      </c>
      <c r="O20" s="21" t="s">
        <v>93</v>
      </c>
      <c r="P20" s="22" t="s">
        <v>94</v>
      </c>
    </row>
    <row r="21" spans="1:16" ht="12.75" customHeight="1" thickBot="1" x14ac:dyDescent="0.25">
      <c r="A21" s="4" t="str">
        <f t="shared" si="0"/>
        <v>VSB 51 </v>
      </c>
      <c r="B21" s="3" t="str">
        <f t="shared" si="1"/>
        <v>II</v>
      </c>
      <c r="C21" s="4">
        <f t="shared" si="2"/>
        <v>55338.1826</v>
      </c>
      <c r="D21" s="5" t="str">
        <f t="shared" si="3"/>
        <v>vis</v>
      </c>
      <c r="E21" s="18">
        <f>VLOOKUP(C21,Active!C$21:E$973,3,FALSE)</f>
        <v>-310.89819143606911</v>
      </c>
      <c r="F21" s="3" t="s">
        <v>47</v>
      </c>
      <c r="G21" s="5" t="str">
        <f t="shared" si="4"/>
        <v>55338.1826</v>
      </c>
      <c r="H21" s="4">
        <f t="shared" si="5"/>
        <v>3112.5</v>
      </c>
      <c r="I21" s="19" t="s">
        <v>95</v>
      </c>
      <c r="J21" s="20" t="s">
        <v>96</v>
      </c>
      <c r="K21" s="19">
        <v>3112.5</v>
      </c>
      <c r="L21" s="19" t="s">
        <v>97</v>
      </c>
      <c r="M21" s="20" t="s">
        <v>87</v>
      </c>
      <c r="N21" s="20" t="s">
        <v>92</v>
      </c>
      <c r="O21" s="21" t="s">
        <v>93</v>
      </c>
      <c r="P21" s="22" t="s">
        <v>94</v>
      </c>
    </row>
    <row r="22" spans="1:16" ht="12.75" customHeight="1" thickBot="1" x14ac:dyDescent="0.25">
      <c r="A22" s="4" t="str">
        <f t="shared" si="0"/>
        <v>VSB 51 </v>
      </c>
      <c r="B22" s="3" t="str">
        <f t="shared" si="1"/>
        <v>II</v>
      </c>
      <c r="C22" s="4">
        <f t="shared" si="2"/>
        <v>55349.1129</v>
      </c>
      <c r="D22" s="5" t="str">
        <f t="shared" si="3"/>
        <v>vis</v>
      </c>
      <c r="E22" s="18">
        <f>VLOOKUP(C22,Active!C$21:E$973,3,FALSE)</f>
        <v>-306.23455673988229</v>
      </c>
      <c r="F22" s="3" t="s">
        <v>47</v>
      </c>
      <c r="G22" s="5" t="str">
        <f t="shared" si="4"/>
        <v>55349.1129</v>
      </c>
      <c r="H22" s="4">
        <f t="shared" si="5"/>
        <v>3124.5</v>
      </c>
      <c r="I22" s="19" t="s">
        <v>98</v>
      </c>
      <c r="J22" s="20" t="s">
        <v>99</v>
      </c>
      <c r="K22" s="19">
        <v>3124.5</v>
      </c>
      <c r="L22" s="19" t="s">
        <v>100</v>
      </c>
      <c r="M22" s="20" t="s">
        <v>87</v>
      </c>
      <c r="N22" s="20" t="s">
        <v>92</v>
      </c>
      <c r="O22" s="21" t="s">
        <v>93</v>
      </c>
      <c r="P22" s="22" t="s">
        <v>94</v>
      </c>
    </row>
    <row r="23" spans="1:16" ht="12.75" customHeight="1" thickBot="1" x14ac:dyDescent="0.25">
      <c r="A23" s="4" t="str">
        <f t="shared" si="0"/>
        <v>VSB 51 </v>
      </c>
      <c r="B23" s="3" t="str">
        <f t="shared" si="1"/>
        <v>I</v>
      </c>
      <c r="C23" s="4">
        <f t="shared" si="2"/>
        <v>55396.063399999999</v>
      </c>
      <c r="D23" s="5" t="str">
        <f t="shared" si="3"/>
        <v>vis</v>
      </c>
      <c r="E23" s="18">
        <f>VLOOKUP(C23,Active!C$21:E$973,3,FALSE)</f>
        <v>-286.20217146195637</v>
      </c>
      <c r="F23" s="3" t="s">
        <v>47</v>
      </c>
      <c r="G23" s="5" t="str">
        <f t="shared" si="4"/>
        <v>55396.0634</v>
      </c>
      <c r="H23" s="4">
        <f t="shared" si="5"/>
        <v>3176</v>
      </c>
      <c r="I23" s="19" t="s">
        <v>101</v>
      </c>
      <c r="J23" s="20" t="s">
        <v>102</v>
      </c>
      <c r="K23" s="19">
        <v>3176</v>
      </c>
      <c r="L23" s="19" t="s">
        <v>100</v>
      </c>
      <c r="M23" s="20" t="s">
        <v>87</v>
      </c>
      <c r="N23" s="20" t="s">
        <v>47</v>
      </c>
      <c r="O23" s="21" t="s">
        <v>103</v>
      </c>
      <c r="P23" s="22" t="s">
        <v>94</v>
      </c>
    </row>
    <row r="24" spans="1:16" ht="12.75" customHeight="1" thickBot="1" x14ac:dyDescent="0.25">
      <c r="A24" s="4" t="str">
        <f t="shared" si="0"/>
        <v>VSB 51 </v>
      </c>
      <c r="B24" s="3" t="str">
        <f t="shared" si="1"/>
        <v>I</v>
      </c>
      <c r="C24" s="4">
        <f t="shared" si="2"/>
        <v>55438</v>
      </c>
      <c r="D24" s="5" t="str">
        <f t="shared" si="3"/>
        <v>vis</v>
      </c>
      <c r="E24" s="18">
        <f>VLOOKUP(C24,Active!C$21:E$973,3,FALSE)</f>
        <v>-268.3090685461982</v>
      </c>
      <c r="F24" s="3" t="s">
        <v>47</v>
      </c>
      <c r="G24" s="5" t="str">
        <f t="shared" si="4"/>
        <v>55438.0000</v>
      </c>
      <c r="H24" s="4">
        <f t="shared" si="5"/>
        <v>3222</v>
      </c>
      <c r="I24" s="19" t="s">
        <v>104</v>
      </c>
      <c r="J24" s="20" t="s">
        <v>105</v>
      </c>
      <c r="K24" s="19">
        <v>3222</v>
      </c>
      <c r="L24" s="19" t="s">
        <v>106</v>
      </c>
      <c r="M24" s="20" t="s">
        <v>87</v>
      </c>
      <c r="N24" s="20" t="s">
        <v>47</v>
      </c>
      <c r="O24" s="21" t="s">
        <v>103</v>
      </c>
      <c r="P24" s="22" t="s">
        <v>94</v>
      </c>
    </row>
    <row r="25" spans="1:16" ht="12.75" customHeight="1" thickBot="1" x14ac:dyDescent="0.25">
      <c r="A25" s="4" t="str">
        <f t="shared" si="0"/>
        <v>OEJV 0160 </v>
      </c>
      <c r="B25" s="3" t="str">
        <f t="shared" si="1"/>
        <v>I</v>
      </c>
      <c r="C25" s="4">
        <f t="shared" si="2"/>
        <v>56010.526870000002</v>
      </c>
      <c r="D25" s="5" t="str">
        <f t="shared" si="3"/>
        <v>vis</v>
      </c>
      <c r="E25" s="18">
        <f>VLOOKUP(C25,Active!C$21:E$973,3,FALSE)</f>
        <v>-24.028840608151079</v>
      </c>
      <c r="F25" s="3" t="s">
        <v>47</v>
      </c>
      <c r="G25" s="5" t="str">
        <f t="shared" si="4"/>
        <v>56010.52687</v>
      </c>
      <c r="H25" s="4">
        <f t="shared" si="5"/>
        <v>3850</v>
      </c>
      <c r="I25" s="19" t="s">
        <v>107</v>
      </c>
      <c r="J25" s="20" t="s">
        <v>108</v>
      </c>
      <c r="K25" s="19">
        <v>3850</v>
      </c>
      <c r="L25" s="19" t="s">
        <v>109</v>
      </c>
      <c r="M25" s="20" t="s">
        <v>87</v>
      </c>
      <c r="N25" s="20" t="s">
        <v>110</v>
      </c>
      <c r="O25" s="21" t="s">
        <v>111</v>
      </c>
      <c r="P25" s="22" t="s">
        <v>112</v>
      </c>
    </row>
    <row r="26" spans="1:16" ht="12.75" customHeight="1" thickBot="1" x14ac:dyDescent="0.25">
      <c r="A26" s="4" t="str">
        <f t="shared" si="0"/>
        <v>OEJV 0160 </v>
      </c>
      <c r="B26" s="3" t="str">
        <f t="shared" si="1"/>
        <v>I</v>
      </c>
      <c r="C26" s="4">
        <f t="shared" si="2"/>
        <v>56010.527710000002</v>
      </c>
      <c r="D26" s="5" t="str">
        <f t="shared" si="3"/>
        <v>vis</v>
      </c>
      <c r="E26" s="18">
        <f>VLOOKUP(C26,Active!C$21:E$973,3,FALSE)</f>
        <v>-24.028482205074525</v>
      </c>
      <c r="F26" s="3" t="s">
        <v>47</v>
      </c>
      <c r="G26" s="5" t="str">
        <f t="shared" si="4"/>
        <v>56010.52771</v>
      </c>
      <c r="H26" s="4">
        <f t="shared" si="5"/>
        <v>3850</v>
      </c>
      <c r="I26" s="19" t="s">
        <v>113</v>
      </c>
      <c r="J26" s="20" t="s">
        <v>114</v>
      </c>
      <c r="K26" s="19">
        <v>3850</v>
      </c>
      <c r="L26" s="19" t="s">
        <v>115</v>
      </c>
      <c r="M26" s="20" t="s">
        <v>87</v>
      </c>
      <c r="N26" s="20" t="s">
        <v>116</v>
      </c>
      <c r="O26" s="21" t="s">
        <v>111</v>
      </c>
      <c r="P26" s="22" t="s">
        <v>112</v>
      </c>
    </row>
    <row r="27" spans="1:16" ht="12.75" customHeight="1" thickBot="1" x14ac:dyDescent="0.25">
      <c r="A27" s="4" t="str">
        <f t="shared" si="0"/>
        <v>OEJV 0160 </v>
      </c>
      <c r="B27" s="3" t="str">
        <f t="shared" si="1"/>
        <v>I</v>
      </c>
      <c r="C27" s="4">
        <f t="shared" si="2"/>
        <v>56010.528539999999</v>
      </c>
      <c r="D27" s="5" t="str">
        <f t="shared" si="3"/>
        <v>vis</v>
      </c>
      <c r="E27" s="18">
        <f>VLOOKUP(C27,Active!C$21:E$973,3,FALSE)</f>
        <v>-24.02812806870271</v>
      </c>
      <c r="F27" s="3" t="s">
        <v>47</v>
      </c>
      <c r="G27" s="5" t="str">
        <f t="shared" si="4"/>
        <v>56010.52854</v>
      </c>
      <c r="H27" s="4">
        <f t="shared" si="5"/>
        <v>3850</v>
      </c>
      <c r="I27" s="19" t="s">
        <v>117</v>
      </c>
      <c r="J27" s="20" t="s">
        <v>118</v>
      </c>
      <c r="K27" s="19">
        <v>3850</v>
      </c>
      <c r="L27" s="19" t="s">
        <v>119</v>
      </c>
      <c r="M27" s="20" t="s">
        <v>87</v>
      </c>
      <c r="N27" s="20" t="s">
        <v>47</v>
      </c>
      <c r="O27" s="21" t="s">
        <v>111</v>
      </c>
      <c r="P27" s="22" t="s">
        <v>112</v>
      </c>
    </row>
    <row r="28" spans="1:16" ht="12.75" customHeight="1" thickBot="1" x14ac:dyDescent="0.25">
      <c r="A28" s="4" t="str">
        <f t="shared" si="0"/>
        <v>OEJV 0160 </v>
      </c>
      <c r="B28" s="3" t="str">
        <f t="shared" si="1"/>
        <v>I</v>
      </c>
      <c r="C28" s="4">
        <f t="shared" si="2"/>
        <v>56010.529399999999</v>
      </c>
      <c r="D28" s="5" t="str">
        <f t="shared" si="3"/>
        <v>vis</v>
      </c>
      <c r="E28" s="18">
        <f>VLOOKUP(C28,Active!C$21:E$973,3,FALSE)</f>
        <v>-24.027761132219794</v>
      </c>
      <c r="F28" s="3" t="s">
        <v>47</v>
      </c>
      <c r="G28" s="5" t="str">
        <f t="shared" si="4"/>
        <v>56010.5294</v>
      </c>
      <c r="H28" s="4">
        <f t="shared" si="5"/>
        <v>3850</v>
      </c>
      <c r="I28" s="19" t="s">
        <v>120</v>
      </c>
      <c r="J28" s="20" t="s">
        <v>121</v>
      </c>
      <c r="K28" s="19">
        <v>3850</v>
      </c>
      <c r="L28" s="19" t="s">
        <v>122</v>
      </c>
      <c r="M28" s="20" t="s">
        <v>87</v>
      </c>
      <c r="N28" s="20" t="s">
        <v>123</v>
      </c>
      <c r="O28" s="21" t="s">
        <v>111</v>
      </c>
      <c r="P28" s="22" t="s">
        <v>112</v>
      </c>
    </row>
    <row r="29" spans="1:16" ht="12.75" customHeight="1" thickBot="1" x14ac:dyDescent="0.25">
      <c r="A29" s="4" t="str">
        <f t="shared" si="0"/>
        <v>OEJV 0160 </v>
      </c>
      <c r="B29" s="3" t="str">
        <f t="shared" si="1"/>
        <v>II</v>
      </c>
      <c r="C29" s="4">
        <f t="shared" si="2"/>
        <v>56068.418590000001</v>
      </c>
      <c r="D29" s="5" t="str">
        <f t="shared" si="3"/>
        <v>vis</v>
      </c>
      <c r="E29" s="18">
        <f>VLOOKUP(C29,Active!C$21:E$973,3,FALSE)</f>
        <v>0.67183860595370759</v>
      </c>
      <c r="F29" s="3" t="s">
        <v>47</v>
      </c>
      <c r="G29" s="5" t="str">
        <f t="shared" si="4"/>
        <v>56068.41859</v>
      </c>
      <c r="H29" s="4">
        <f t="shared" si="5"/>
        <v>3913.5</v>
      </c>
      <c r="I29" s="19" t="s">
        <v>124</v>
      </c>
      <c r="J29" s="20" t="s">
        <v>125</v>
      </c>
      <c r="K29" s="19">
        <v>3913.5</v>
      </c>
      <c r="L29" s="19" t="s">
        <v>126</v>
      </c>
      <c r="M29" s="20" t="s">
        <v>87</v>
      </c>
      <c r="N29" s="20" t="s">
        <v>123</v>
      </c>
      <c r="O29" s="21" t="s">
        <v>111</v>
      </c>
      <c r="P29" s="22" t="s">
        <v>112</v>
      </c>
    </row>
    <row r="30" spans="1:16" ht="12.75" customHeight="1" thickBot="1" x14ac:dyDescent="0.25">
      <c r="A30" s="4" t="str">
        <f t="shared" si="0"/>
        <v>OEJV 0160 </v>
      </c>
      <c r="B30" s="3" t="str">
        <f t="shared" si="1"/>
        <v>II</v>
      </c>
      <c r="C30" s="4">
        <f t="shared" si="2"/>
        <v>56068.419289999998</v>
      </c>
      <c r="D30" s="5" t="str">
        <f t="shared" si="3"/>
        <v>vis</v>
      </c>
      <c r="E30" s="18">
        <f>VLOOKUP(C30,Active!C$21:E$973,3,FALSE)</f>
        <v>0.67213727518261501</v>
      </c>
      <c r="F30" s="3" t="s">
        <v>47</v>
      </c>
      <c r="G30" s="5" t="str">
        <f t="shared" si="4"/>
        <v>56068.41929</v>
      </c>
      <c r="H30" s="4">
        <f t="shared" si="5"/>
        <v>3913.5</v>
      </c>
      <c r="I30" s="19" t="s">
        <v>127</v>
      </c>
      <c r="J30" s="20" t="s">
        <v>128</v>
      </c>
      <c r="K30" s="19">
        <v>3913.5</v>
      </c>
      <c r="L30" s="19" t="s">
        <v>129</v>
      </c>
      <c r="M30" s="20" t="s">
        <v>87</v>
      </c>
      <c r="N30" s="20" t="s">
        <v>110</v>
      </c>
      <c r="O30" s="21" t="s">
        <v>111</v>
      </c>
      <c r="P30" s="22" t="s">
        <v>112</v>
      </c>
    </row>
    <row r="31" spans="1:16" ht="12.75" customHeight="1" thickBot="1" x14ac:dyDescent="0.25">
      <c r="A31" s="4" t="str">
        <f t="shared" si="0"/>
        <v>OEJV 0160 </v>
      </c>
      <c r="B31" s="3" t="str">
        <f t="shared" si="1"/>
        <v>II</v>
      </c>
      <c r="C31" s="4">
        <f t="shared" si="2"/>
        <v>56068.419320000001</v>
      </c>
      <c r="D31" s="5" t="str">
        <f t="shared" si="3"/>
        <v>vis</v>
      </c>
      <c r="E31" s="18">
        <f>VLOOKUP(C31,Active!C$21:E$973,3,FALSE)</f>
        <v>0.6721500752937114</v>
      </c>
      <c r="F31" s="3" t="s">
        <v>47</v>
      </c>
      <c r="G31" s="5" t="str">
        <f t="shared" si="4"/>
        <v>56068.41932</v>
      </c>
      <c r="H31" s="4">
        <f t="shared" si="5"/>
        <v>3913.5</v>
      </c>
      <c r="I31" s="19" t="s">
        <v>130</v>
      </c>
      <c r="J31" s="20" t="s">
        <v>128</v>
      </c>
      <c r="K31" s="19">
        <v>3913.5</v>
      </c>
      <c r="L31" s="19" t="s">
        <v>131</v>
      </c>
      <c r="M31" s="20" t="s">
        <v>87</v>
      </c>
      <c r="N31" s="20" t="s">
        <v>47</v>
      </c>
      <c r="O31" s="21" t="s">
        <v>111</v>
      </c>
      <c r="P31" s="22" t="s">
        <v>112</v>
      </c>
    </row>
    <row r="32" spans="1:16" ht="12.75" customHeight="1" thickBot="1" x14ac:dyDescent="0.25">
      <c r="A32" s="4" t="str">
        <f t="shared" si="0"/>
        <v>OEJV 0160 </v>
      </c>
      <c r="B32" s="3" t="str">
        <f t="shared" si="1"/>
        <v>II</v>
      </c>
      <c r="C32" s="4">
        <f t="shared" si="2"/>
        <v>56068.420590000002</v>
      </c>
      <c r="D32" s="5" t="str">
        <f t="shared" si="3"/>
        <v>vis</v>
      </c>
      <c r="E32" s="18">
        <f>VLOOKUP(C32,Active!C$21:E$973,3,FALSE)</f>
        <v>0.67269194661172005</v>
      </c>
      <c r="F32" s="3" t="s">
        <v>47</v>
      </c>
      <c r="G32" s="5" t="str">
        <f t="shared" si="4"/>
        <v>56068.42059</v>
      </c>
      <c r="H32" s="4">
        <f t="shared" si="5"/>
        <v>3913.5</v>
      </c>
      <c r="I32" s="19" t="s">
        <v>132</v>
      </c>
      <c r="J32" s="20" t="s">
        <v>133</v>
      </c>
      <c r="K32" s="19">
        <v>3913.5</v>
      </c>
      <c r="L32" s="19" t="s">
        <v>134</v>
      </c>
      <c r="M32" s="20" t="s">
        <v>87</v>
      </c>
      <c r="N32" s="20" t="s">
        <v>116</v>
      </c>
      <c r="O32" s="21" t="s">
        <v>111</v>
      </c>
      <c r="P32" s="22" t="s">
        <v>112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</sheetData>
  <phoneticPr fontId="7" type="noConversion"/>
  <hyperlinks>
    <hyperlink ref="A3" r:id="rId1"/>
    <hyperlink ref="P14" r:id="rId2" display="http://www.konkoly.hu/cgi-bin/IBVS?5027"/>
    <hyperlink ref="P15" r:id="rId3" display="http://www.konkoly.hu/cgi-bin/IBVS?5027"/>
    <hyperlink ref="P17" r:id="rId4" display="http://www.konkoly.hu/cgi-bin/IBVS?5713"/>
    <hyperlink ref="P18" r:id="rId5" display="http://www.konkoly.hu/cgi-bin/IBVS?5713"/>
    <hyperlink ref="P19" r:id="rId6" display="http://www.konkoly.hu/cgi-bin/IBVS?5945"/>
    <hyperlink ref="P20" r:id="rId7" display="http://vsolj.cetus-net.org/vsoljno51.pdf"/>
    <hyperlink ref="P21" r:id="rId8" display="http://vsolj.cetus-net.org/vsoljno51.pdf"/>
    <hyperlink ref="P22" r:id="rId9" display="http://vsolj.cetus-net.org/vsoljno51.pdf"/>
    <hyperlink ref="P23" r:id="rId10" display="http://vsolj.cetus-net.org/vsoljno51.pdf"/>
    <hyperlink ref="P24" r:id="rId11" display="http://vsolj.cetus-net.org/vsoljno51.pdf"/>
    <hyperlink ref="P25" r:id="rId12" display="http://var.astro.cz/oejv/issues/oejv0160.pdf"/>
    <hyperlink ref="P26" r:id="rId13" display="http://var.astro.cz/oejv/issues/oejv0160.pdf"/>
    <hyperlink ref="P27" r:id="rId14" display="http://var.astro.cz/oejv/issues/oejv0160.pdf"/>
    <hyperlink ref="P28" r:id="rId15" display="http://var.astro.cz/oejv/issues/oejv0160.pdf"/>
    <hyperlink ref="P29" r:id="rId16" display="http://var.astro.cz/oejv/issues/oejv0160.pdf"/>
    <hyperlink ref="P30" r:id="rId17" display="http://var.astro.cz/oejv/issues/oejv0160.pdf"/>
    <hyperlink ref="P31" r:id="rId18" display="http://var.astro.cz/oejv/issues/oejv0160.pdf"/>
    <hyperlink ref="P32" r:id="rId19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2024-02-28T04:25:28Z</dcterms:modified>
</cp:coreProperties>
</file>