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447A3A-58B4-4E52-9DD0-E04A2D87F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60" i="1" l="1"/>
  <c r="F60" i="1" s="1"/>
  <c r="Q60" i="1"/>
  <c r="E61" i="1"/>
  <c r="F61" i="1" s="1"/>
  <c r="Q61" i="1"/>
  <c r="E62" i="1"/>
  <c r="F62" i="1" s="1"/>
  <c r="Q62" i="1"/>
  <c r="E63" i="1"/>
  <c r="F63" i="1"/>
  <c r="Q63" i="1"/>
  <c r="E64" i="1"/>
  <c r="F64" i="1" s="1"/>
  <c r="Q64" i="1"/>
  <c r="E65" i="1"/>
  <c r="F65" i="1"/>
  <c r="G65" i="1"/>
  <c r="K65" i="1" s="1"/>
  <c r="Q65" i="1"/>
  <c r="E66" i="1"/>
  <c r="F66" i="1"/>
  <c r="G66" i="1" s="1"/>
  <c r="K66" i="1" s="1"/>
  <c r="Q66" i="1"/>
  <c r="F4" i="1"/>
  <c r="G4" i="1"/>
  <c r="C9" i="1"/>
  <c r="D9" i="1"/>
  <c r="D11" i="1"/>
  <c r="D12" i="1"/>
  <c r="W4" i="1" s="1"/>
  <c r="D13" i="1"/>
  <c r="F16" i="1"/>
  <c r="F17" i="1" s="1"/>
  <c r="C17" i="1"/>
  <c r="E21" i="1"/>
  <c r="F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Q24" i="1"/>
  <c r="E25" i="1"/>
  <c r="F25" i="1"/>
  <c r="Q25" i="1"/>
  <c r="E26" i="1"/>
  <c r="F26" i="1"/>
  <c r="Q26" i="1"/>
  <c r="E27" i="1"/>
  <c r="F27" i="1"/>
  <c r="Q27" i="1"/>
  <c r="E28" i="1"/>
  <c r="F28" i="1"/>
  <c r="Q28" i="1"/>
  <c r="E29" i="1"/>
  <c r="F29" i="1"/>
  <c r="G29" i="1"/>
  <c r="K29" i="1"/>
  <c r="Q29" i="1"/>
  <c r="E30" i="1"/>
  <c r="F30" i="1"/>
  <c r="Q30" i="1"/>
  <c r="E31" i="1"/>
  <c r="F31" i="1"/>
  <c r="G31" i="1"/>
  <c r="J31" i="1"/>
  <c r="Q31" i="1"/>
  <c r="E32" i="1"/>
  <c r="F32" i="1"/>
  <c r="Q32" i="1"/>
  <c r="E33" i="1"/>
  <c r="F33" i="1"/>
  <c r="Q33" i="1"/>
  <c r="E34" i="1"/>
  <c r="F34" i="1"/>
  <c r="Q34" i="1"/>
  <c r="E35" i="1"/>
  <c r="F35" i="1"/>
  <c r="Q35" i="1"/>
  <c r="E36" i="1"/>
  <c r="F36" i="1"/>
  <c r="Q36" i="1"/>
  <c r="E37" i="1"/>
  <c r="F37" i="1"/>
  <c r="G37" i="1"/>
  <c r="K37" i="1"/>
  <c r="Q37" i="1"/>
  <c r="E38" i="1"/>
  <c r="F38" i="1"/>
  <c r="Q38" i="1"/>
  <c r="E39" i="1"/>
  <c r="F39" i="1"/>
  <c r="G39" i="1"/>
  <c r="K39" i="1"/>
  <c r="Q39" i="1"/>
  <c r="E40" i="1"/>
  <c r="F40" i="1"/>
  <c r="Q40" i="1"/>
  <c r="E41" i="1"/>
  <c r="F41" i="1"/>
  <c r="Q41" i="1"/>
  <c r="E42" i="1"/>
  <c r="F42" i="1"/>
  <c r="Q42" i="1"/>
  <c r="E43" i="1"/>
  <c r="F43" i="1"/>
  <c r="Q43" i="1"/>
  <c r="E44" i="1"/>
  <c r="F44" i="1"/>
  <c r="Q44" i="1"/>
  <c r="E45" i="1"/>
  <c r="F45" i="1"/>
  <c r="G45" i="1"/>
  <c r="K45" i="1"/>
  <c r="Q45" i="1"/>
  <c r="E46" i="1"/>
  <c r="F46" i="1"/>
  <c r="Q46" i="1"/>
  <c r="E47" i="1"/>
  <c r="F47" i="1"/>
  <c r="G47" i="1"/>
  <c r="K47" i="1"/>
  <c r="Q47" i="1"/>
  <c r="E48" i="1"/>
  <c r="F48" i="1"/>
  <c r="Q48" i="1"/>
  <c r="E49" i="1"/>
  <c r="F49" i="1"/>
  <c r="Q49" i="1"/>
  <c r="E50" i="1"/>
  <c r="F50" i="1"/>
  <c r="Q50" i="1"/>
  <c r="E51" i="1"/>
  <c r="F51" i="1"/>
  <c r="Q51" i="1"/>
  <c r="E52" i="1"/>
  <c r="F52" i="1"/>
  <c r="Q52" i="1"/>
  <c r="E53" i="1"/>
  <c r="F53" i="1"/>
  <c r="G53" i="1"/>
  <c r="J53" i="1"/>
  <c r="Q53" i="1"/>
  <c r="E54" i="1"/>
  <c r="F54" i="1"/>
  <c r="Q54" i="1"/>
  <c r="E55" i="1"/>
  <c r="F55" i="1"/>
  <c r="G55" i="1"/>
  <c r="K55" i="1"/>
  <c r="Q55" i="1"/>
  <c r="E56" i="1"/>
  <c r="F56" i="1"/>
  <c r="Q56" i="1"/>
  <c r="E57" i="1"/>
  <c r="F57" i="1"/>
  <c r="Q57" i="1"/>
  <c r="E58" i="1"/>
  <c r="F58" i="1"/>
  <c r="Q58" i="1"/>
  <c r="E59" i="1"/>
  <c r="F59" i="1"/>
  <c r="Q59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B17" i="2"/>
  <c r="C17" i="2"/>
  <c r="D17" i="2"/>
  <c r="E17" i="2"/>
  <c r="G17" i="2"/>
  <c r="H17" i="2"/>
  <c r="A18" i="2"/>
  <c r="B18" i="2"/>
  <c r="D18" i="2"/>
  <c r="G18" i="2"/>
  <c r="C18" i="2"/>
  <c r="E18" i="2"/>
  <c r="H18" i="2"/>
  <c r="A19" i="2"/>
  <c r="D19" i="2"/>
  <c r="G19" i="2"/>
  <c r="C19" i="2"/>
  <c r="E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B22" i="2"/>
  <c r="D22" i="2"/>
  <c r="G22" i="2"/>
  <c r="C22" i="2"/>
  <c r="E22" i="2"/>
  <c r="H22" i="2"/>
  <c r="A23" i="2"/>
  <c r="B23" i="2"/>
  <c r="C23" i="2"/>
  <c r="E23" i="2"/>
  <c r="D23" i="2"/>
  <c r="G23" i="2"/>
  <c r="H23" i="2"/>
  <c r="A24" i="2"/>
  <c r="B24" i="2"/>
  <c r="C24" i="2"/>
  <c r="E24" i="2"/>
  <c r="D24" i="2"/>
  <c r="G24" i="2"/>
  <c r="H24" i="2"/>
  <c r="A25" i="2"/>
  <c r="B25" i="2"/>
  <c r="C25" i="2"/>
  <c r="D25" i="2"/>
  <c r="E25" i="2"/>
  <c r="G25" i="2"/>
  <c r="H25" i="2"/>
  <c r="A26" i="2"/>
  <c r="B26" i="2"/>
  <c r="D26" i="2"/>
  <c r="G26" i="2"/>
  <c r="C26" i="2"/>
  <c r="E26" i="2"/>
  <c r="H26" i="2"/>
  <c r="A27" i="2"/>
  <c r="D27" i="2"/>
  <c r="G27" i="2"/>
  <c r="C27" i="2"/>
  <c r="E27" i="2"/>
  <c r="H27" i="2"/>
  <c r="B27" i="2"/>
  <c r="G59" i="1"/>
  <c r="K59" i="1"/>
  <c r="G44" i="1"/>
  <c r="G25" i="1"/>
  <c r="G34" i="1"/>
  <c r="K34" i="1"/>
  <c r="G58" i="1"/>
  <c r="K58" i="1"/>
  <c r="G46" i="1"/>
  <c r="K46" i="1"/>
  <c r="G43" i="1"/>
  <c r="J43" i="1"/>
  <c r="G28" i="1"/>
  <c r="K28" i="1"/>
  <c r="G24" i="1"/>
  <c r="K24" i="1"/>
  <c r="G49" i="1"/>
  <c r="K49" i="1"/>
  <c r="G52" i="1"/>
  <c r="K52" i="1"/>
  <c r="G33" i="1"/>
  <c r="J33" i="1"/>
  <c r="G21" i="1"/>
  <c r="K21" i="1"/>
  <c r="G57" i="1"/>
  <c r="K57" i="1"/>
  <c r="G42" i="1"/>
  <c r="K42" i="1"/>
  <c r="G30" i="1"/>
  <c r="K30" i="1"/>
  <c r="G27" i="1"/>
  <c r="K27" i="1"/>
  <c r="G54" i="1"/>
  <c r="J54" i="1"/>
  <c r="G51" i="1"/>
  <c r="K51" i="1"/>
  <c r="G36" i="1"/>
  <c r="K36" i="1"/>
  <c r="G41" i="1"/>
  <c r="K41" i="1"/>
  <c r="G26" i="1"/>
  <c r="K26" i="1"/>
  <c r="G50" i="1"/>
  <c r="K50" i="1"/>
  <c r="G38" i="1"/>
  <c r="K38" i="1"/>
  <c r="G35" i="1"/>
  <c r="J35" i="1"/>
  <c r="P35" i="1"/>
  <c r="R35" i="1" s="1"/>
  <c r="T35" i="1" s="1"/>
  <c r="G56" i="1"/>
  <c r="K56" i="1"/>
  <c r="G48" i="1"/>
  <c r="K48" i="1"/>
  <c r="G40" i="1"/>
  <c r="K40" i="1"/>
  <c r="G32" i="1"/>
  <c r="K32" i="1"/>
  <c r="K44" i="1"/>
  <c r="W14" i="1" l="1"/>
  <c r="P25" i="1"/>
  <c r="R25" i="1" s="1"/>
  <c r="T25" i="1" s="1"/>
  <c r="P63" i="1"/>
  <c r="W17" i="1"/>
  <c r="P38" i="1"/>
  <c r="R38" i="1" s="1"/>
  <c r="T38" i="1" s="1"/>
  <c r="P49" i="1"/>
  <c r="R49" i="1" s="1"/>
  <c r="T49" i="1" s="1"/>
  <c r="P65" i="1"/>
  <c r="R65" i="1" s="1"/>
  <c r="T65" i="1" s="1"/>
  <c r="P44" i="1"/>
  <c r="R44" i="1" s="1"/>
  <c r="T44" i="1" s="1"/>
  <c r="P53" i="1"/>
  <c r="R53" i="1" s="1"/>
  <c r="T53" i="1" s="1"/>
  <c r="P47" i="1"/>
  <c r="R47" i="1" s="1"/>
  <c r="T47" i="1" s="1"/>
  <c r="W10" i="1"/>
  <c r="P32" i="1"/>
  <c r="R32" i="1" s="1"/>
  <c r="T32" i="1" s="1"/>
  <c r="W9" i="1"/>
  <c r="W13" i="1"/>
  <c r="P33" i="1"/>
  <c r="R33" i="1" s="1"/>
  <c r="T33" i="1" s="1"/>
  <c r="P24" i="1"/>
  <c r="R24" i="1" s="1"/>
  <c r="T24" i="1" s="1"/>
  <c r="P48" i="1"/>
  <c r="R48" i="1" s="1"/>
  <c r="T48" i="1" s="1"/>
  <c r="P31" i="1"/>
  <c r="R31" i="1" s="1"/>
  <c r="T31" i="1" s="1"/>
  <c r="P62" i="1"/>
  <c r="R62" i="1" s="1"/>
  <c r="T62" i="1" s="1"/>
  <c r="G62" i="1"/>
  <c r="K62" i="1" s="1"/>
  <c r="P61" i="1"/>
  <c r="R61" i="1" s="1"/>
  <c r="T61" i="1" s="1"/>
  <c r="G61" i="1"/>
  <c r="K61" i="1" s="1"/>
  <c r="P64" i="1"/>
  <c r="R64" i="1" s="1"/>
  <c r="T64" i="1" s="1"/>
  <c r="G64" i="1"/>
  <c r="K64" i="1" s="1"/>
  <c r="R63" i="1"/>
  <c r="T63" i="1" s="1"/>
  <c r="D16" i="1"/>
  <c r="D19" i="1" s="1"/>
  <c r="G60" i="1"/>
  <c r="P60" i="1"/>
  <c r="R60" i="1" s="1"/>
  <c r="T60" i="1" s="1"/>
  <c r="G63" i="1"/>
  <c r="K63" i="1" s="1"/>
  <c r="P66" i="1"/>
  <c r="R66" i="1" s="1"/>
  <c r="T66" i="1" s="1"/>
  <c r="P23" i="1"/>
  <c r="R23" i="1" s="1"/>
  <c r="T23" i="1" s="1"/>
  <c r="W5" i="1"/>
  <c r="P26" i="1"/>
  <c r="R26" i="1" s="1"/>
  <c r="T26" i="1" s="1"/>
  <c r="P36" i="1"/>
  <c r="R36" i="1" s="1"/>
  <c r="T36" i="1" s="1"/>
  <c r="P54" i="1"/>
  <c r="R54" i="1" s="1"/>
  <c r="T54" i="1" s="1"/>
  <c r="P30" i="1"/>
  <c r="R30" i="1" s="1"/>
  <c r="T30" i="1" s="1"/>
  <c r="P46" i="1"/>
  <c r="R46" i="1" s="1"/>
  <c r="T46" i="1" s="1"/>
  <c r="P34" i="1"/>
  <c r="R34" i="1" s="1"/>
  <c r="T34" i="1" s="1"/>
  <c r="W2" i="1"/>
  <c r="P45" i="1"/>
  <c r="R45" i="1" s="1"/>
  <c r="T45" i="1" s="1"/>
  <c r="W3" i="1"/>
  <c r="W6" i="1"/>
  <c r="P59" i="1"/>
  <c r="R59" i="1" s="1"/>
  <c r="T59" i="1" s="1"/>
  <c r="P40" i="1"/>
  <c r="R40" i="1" s="1"/>
  <c r="T40" i="1" s="1"/>
  <c r="P39" i="1"/>
  <c r="R39" i="1" s="1"/>
  <c r="T39" i="1" s="1"/>
  <c r="W18" i="1"/>
  <c r="W15" i="1"/>
  <c r="W7" i="1"/>
  <c r="P57" i="1"/>
  <c r="R57" i="1" s="1"/>
  <c r="T57" i="1" s="1"/>
  <c r="P28" i="1"/>
  <c r="R28" i="1" s="1"/>
  <c r="T28" i="1" s="1"/>
  <c r="P37" i="1"/>
  <c r="R37" i="1" s="1"/>
  <c r="T37" i="1" s="1"/>
  <c r="W8" i="1"/>
  <c r="D15" i="1"/>
  <c r="C19" i="1" s="1"/>
  <c r="W12" i="1"/>
  <c r="W11" i="1"/>
  <c r="P50" i="1"/>
  <c r="R50" i="1" s="1"/>
  <c r="T50" i="1" s="1"/>
  <c r="P27" i="1"/>
  <c r="R27" i="1" s="1"/>
  <c r="T27" i="1" s="1"/>
  <c r="P21" i="1"/>
  <c r="R21" i="1" s="1"/>
  <c r="T21" i="1" s="1"/>
  <c r="P22" i="1"/>
  <c r="R22" i="1" s="1"/>
  <c r="T22" i="1" s="1"/>
  <c r="W16" i="1"/>
  <c r="W19" i="1"/>
  <c r="P41" i="1"/>
  <c r="R41" i="1" s="1"/>
  <c r="T41" i="1" s="1"/>
  <c r="P51" i="1"/>
  <c r="R51" i="1" s="1"/>
  <c r="T51" i="1" s="1"/>
  <c r="P42" i="1"/>
  <c r="R42" i="1" s="1"/>
  <c r="T42" i="1" s="1"/>
  <c r="P52" i="1"/>
  <c r="R52" i="1" s="1"/>
  <c r="T52" i="1" s="1"/>
  <c r="P43" i="1"/>
  <c r="R43" i="1" s="1"/>
  <c r="T43" i="1" s="1"/>
  <c r="P58" i="1"/>
  <c r="R58" i="1" s="1"/>
  <c r="T58" i="1" s="1"/>
  <c r="P56" i="1"/>
  <c r="R56" i="1" s="1"/>
  <c r="T56" i="1" s="1"/>
  <c r="P55" i="1"/>
  <c r="R55" i="1" s="1"/>
  <c r="T55" i="1" s="1"/>
  <c r="P29" i="1"/>
  <c r="R29" i="1" s="1"/>
  <c r="T29" i="1" s="1"/>
  <c r="C12" i="1"/>
  <c r="C11" i="1"/>
  <c r="O64" i="1" l="1"/>
  <c r="O65" i="1"/>
  <c r="O66" i="1"/>
  <c r="O62" i="1"/>
  <c r="O63" i="1"/>
  <c r="O60" i="1"/>
  <c r="O61" i="1"/>
  <c r="O30" i="1"/>
  <c r="O31" i="1"/>
  <c r="O54" i="1"/>
  <c r="O28" i="1"/>
  <c r="O48" i="1"/>
  <c r="O22" i="1"/>
  <c r="O26" i="1"/>
  <c r="O55" i="1"/>
  <c r="O56" i="1"/>
  <c r="O32" i="1"/>
  <c r="O43" i="1"/>
  <c r="O53" i="1"/>
  <c r="O36" i="1"/>
  <c r="O41" i="1"/>
  <c r="O47" i="1"/>
  <c r="O57" i="1"/>
  <c r="O40" i="1"/>
  <c r="O33" i="1"/>
  <c r="O52" i="1"/>
  <c r="O24" i="1"/>
  <c r="O38" i="1"/>
  <c r="O39" i="1"/>
  <c r="O27" i="1"/>
  <c r="O44" i="1"/>
  <c r="O37" i="1"/>
  <c r="O51" i="1"/>
  <c r="O58" i="1"/>
  <c r="C15" i="1"/>
  <c r="C18" i="1" s="1"/>
  <c r="O45" i="1"/>
  <c r="O25" i="1"/>
  <c r="O46" i="1"/>
  <c r="O49" i="1"/>
  <c r="O34" i="1"/>
  <c r="O42" i="1"/>
  <c r="O50" i="1"/>
  <c r="O23" i="1"/>
  <c r="O35" i="1"/>
  <c r="O59" i="1"/>
  <c r="O21" i="1"/>
  <c r="O29" i="1"/>
  <c r="C16" i="1"/>
  <c r="D18" i="1" s="1"/>
  <c r="K60" i="1"/>
  <c r="E14" i="1"/>
  <c r="F18" i="1" l="1"/>
  <c r="F19" i="1" s="1"/>
</calcChain>
</file>

<file path=xl/sharedStrings.xml><?xml version="1.0" encoding="utf-8"?>
<sst xmlns="http://schemas.openxmlformats.org/spreadsheetml/2006/main" count="323" uniqueCount="170">
  <si>
    <t>V2612 Oph / GSC 0445-1993</t>
  </si>
  <si>
    <t>EW</t>
  </si>
  <si>
    <t>GRAV</t>
  </si>
  <si>
    <t>not avail.</t>
  </si>
  <si>
    <t>n</t>
  </si>
  <si>
    <t>Q. Fit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</si>
  <si>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</si>
  <si>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</si>
  <si>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</si>
  <si>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</si>
  <si>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</si>
  <si>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</si>
  <si>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</si>
  <si>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</si>
  <si>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</si>
  <si>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</si>
  <si>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</si>
  <si>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</si>
  <si>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</si>
  <si>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</si>
  <si>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</si>
  <si>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</si>
  <si>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</si>
  <si>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</si>
  <si>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</si>
  <si>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</si>
  <si>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</si>
  <si>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</si>
  <si>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</si>
  <si>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</si>
  <si>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</si>
  <si>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</si>
  <si>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</si>
  <si>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</si>
  <si>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</si>
  <si>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</si>
  <si>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</si>
  <si>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</si>
  <si>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</si>
  <si>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</si>
  <si>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</si>
  <si>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</si>
  <si>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</si>
  <si>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</si>
  <si>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</si>
  <si>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</si>
  <si>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</si>
  <si>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</si>
  <si>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</si>
  <si>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Yang 2005</t>
  </si>
  <si>
    <t>I</t>
  </si>
  <si>
    <t>Yang 2008ChJAA...5..137</t>
  </si>
  <si>
    <t>II</t>
  </si>
  <si>
    <t>IBVS 5548</t>
  </si>
  <si>
    <t>IBVS 5898</t>
  </si>
  <si>
    <t>OEJV 116</t>
  </si>
  <si>
    <t>VSB 50 </t>
  </si>
  <si>
    <t>BAVM 212 </t>
  </si>
  <si>
    <t>IBVS 5980 </t>
  </si>
  <si>
    <t>IBVS 5898 </t>
  </si>
  <si>
    <t>IBVS 5984</t>
  </si>
  <si>
    <t>IBVS 6044 </t>
  </si>
  <si>
    <t>IBVS 6005</t>
  </si>
  <si>
    <t>IBVS 6029</t>
  </si>
  <si>
    <t>IBVS 6075</t>
  </si>
  <si>
    <t>IBVS 6149</t>
  </si>
  <si>
    <t>IBVS 6157</t>
  </si>
  <si>
    <t>IBVS 6196</t>
  </si>
  <si>
    <t>VSB 060</t>
  </si>
  <si>
    <t>V</t>
  </si>
  <si>
    <t>IBVS 6244</t>
  </si>
  <si>
    <t>JAVSO..48..256</t>
  </si>
  <si>
    <t>VSB 069</t>
  </si>
  <si>
    <t>Ic</t>
  </si>
  <si>
    <t>B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</si>
  <si>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</si>
  <si>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</si>
  <si>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</si>
  <si>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</si>
  <si>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</si>
  <si>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</si>
  <si>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2454597.5346 </t>
  </si>
  <si>
    <t> 11.05.2008 00:49 </t>
  </si>
  <si>
    <t> 0.0714 </t>
  </si>
  <si>
    <t>C </t>
  </si>
  <si>
    <t> S.Parimucha et al. </t>
  </si>
  <si>
    <t>2454983.540 </t>
  </si>
  <si>
    <t> 01.06.2009 00:57 </t>
  </si>
  <si>
    <t> 0.085 </t>
  </si>
  <si>
    <t>ns</t>
  </si>
  <si>
    <t> A.Paschke </t>
  </si>
  <si>
    <t>OEJV 0116 </t>
  </si>
  <si>
    <t>2455385.4942 </t>
  </si>
  <si>
    <t> 07.07.2010 23:51 </t>
  </si>
  <si>
    <t>7809</t>
  </si>
  <si>
    <t> 0.0970 </t>
  </si>
  <si>
    <t>-I</t>
  </si>
  <si>
    <t> F.Agerer </t>
  </si>
  <si>
    <t>BAVM 215 </t>
  </si>
  <si>
    <t>2455727.3963 </t>
  </si>
  <si>
    <t> 14.06.2011 21:30 </t>
  </si>
  <si>
    <t>8720</t>
  </si>
  <si>
    <t> 0.1045 </t>
  </si>
  <si>
    <t>m</t>
  </si>
  <si>
    <t> A.Liakos &amp; P.Niarchos </t>
  </si>
  <si>
    <t>IBVS 6005 </t>
  </si>
  <si>
    <t>2455729.4632 </t>
  </si>
  <si>
    <t> 16.06.2011 23:07 </t>
  </si>
  <si>
    <t>8725.5</t>
  </si>
  <si>
    <t> 0.1073 </t>
  </si>
  <si>
    <t>2456078.8687 </t>
  </si>
  <si>
    <t> 31.05.2012 08:50 </t>
  </si>
  <si>
    <t>9656.5</t>
  </si>
  <si>
    <t> 0.1122 </t>
  </si>
  <si>
    <t> R.Diethelm </t>
  </si>
  <si>
    <t>IBVS 6029 </t>
  </si>
  <si>
    <t>2456081.4971 </t>
  </si>
  <si>
    <t> 02.06.2012 23:55 </t>
  </si>
  <si>
    <t>9663.5</t>
  </si>
  <si>
    <t> 0.1135 </t>
  </si>
  <si>
    <t> M.N.Bagiran et al. </t>
  </si>
  <si>
    <t>IBVS 6075 </t>
  </si>
  <si>
    <t>2456084.4990 </t>
  </si>
  <si>
    <t> 05.06.2012 23:58 </t>
  </si>
  <si>
    <t>9671.5</t>
  </si>
  <si>
    <t> 0.1130 </t>
  </si>
  <si>
    <t> Z.Terzioglu et al. </t>
  </si>
  <si>
    <t>2456815.3991 </t>
  </si>
  <si>
    <t> 06.06.2014 21:34 </t>
  </si>
  <si>
    <t>11619</t>
  </si>
  <si>
    <t> 0.1242 </t>
  </si>
  <si>
    <t>BAVM 238 </t>
  </si>
  <si>
    <t>2454994.0479 </t>
  </si>
  <si>
    <t> 11.06.2009 13:08 </t>
  </si>
  <si>
    <t> 0.0845 </t>
  </si>
  <si>
    <t> K.Nagai </t>
  </si>
  <si>
    <t>2455041.5208 </t>
  </si>
  <si>
    <t> 29.07.2009 00:29 </t>
  </si>
  <si>
    <t> 0.0824 </t>
  </si>
  <si>
    <t>2455309.4940 </t>
  </si>
  <si>
    <t> 22.04.2010 23:51 </t>
  </si>
  <si>
    <t>7606.5</t>
  </si>
  <si>
    <t> 0.0943 </t>
  </si>
  <si>
    <t>R</t>
  </si>
  <si>
    <t>2455356.4053 </t>
  </si>
  <si>
    <t> 08.06.2010 21:43 </t>
  </si>
  <si>
    <t>7731.5</t>
  </si>
  <si>
    <t> 0.0936 </t>
  </si>
  <si>
    <t>2455651.5852 </t>
  </si>
  <si>
    <t> 31.03.2011 02:02 </t>
  </si>
  <si>
    <t>8518</t>
  </si>
  <si>
    <t> 0.1032 </t>
  </si>
  <si>
    <t>2455686.4890 </t>
  </si>
  <si>
    <t> 04.05.2011 23:44 </t>
  </si>
  <si>
    <t>8611</t>
  </si>
  <si>
    <t> 0.1044 </t>
  </si>
  <si>
    <t>2456073.4293 </t>
  </si>
  <si>
    <t> 25.05.2012 22:18 </t>
  </si>
  <si>
    <t>9642</t>
  </si>
  <si>
    <t> 0.1146 </t>
  </si>
  <si>
    <t>2457207.3981 </t>
  </si>
  <si>
    <t> 03.07.2015 21:33 </t>
  </si>
  <si>
    <t>12663.5</t>
  </si>
  <si>
    <t> 0.1265 </t>
  </si>
  <si>
    <t>BAVM 241 (=IBVS 6157) </t>
  </si>
  <si>
    <t>JAVSO, 48, 256</t>
  </si>
  <si>
    <t>JBAV, 55</t>
  </si>
  <si>
    <t>VSB, 91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</si>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</sst>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0.00000"/>
    <numFmt numFmtId="168" formatCode="dd/mm/yyyy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top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5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 applyAlignment="1"/>
    <xf numFmtId="0" fontId="8" fillId="0" borderId="0" xfId="0" applyFont="1" applyAlignment="1"/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11" fontId="0" fillId="0" borderId="0" xfId="0" applyNumberFormat="1" applyAlignment="1"/>
    <xf numFmtId="0" fontId="0" fillId="0" borderId="8" xfId="0" applyBorder="1" applyAlignment="1"/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165" fontId="6" fillId="0" borderId="0" xfId="0" applyNumberFormat="1" applyFont="1">
      <alignment vertical="top"/>
    </xf>
    <xf numFmtId="0" fontId="5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 vertical="top"/>
    </xf>
    <xf numFmtId="166" fontId="3" fillId="0" borderId="0" xfId="0" applyNumberFormat="1" applyFont="1" applyAlignment="1">
      <alignment horizontal="left"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/>
    <xf numFmtId="0" fontId="13" fillId="2" borderId="0" xfId="0" applyFont="1" applyFill="1" applyAlignment="1"/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3" fillId="3" borderId="19" xfId="0" applyFont="1" applyFill="1" applyBorder="1" applyAlignment="1">
      <alignment horizontal="left" vertical="top" wrapText="1" indent="1"/>
    </xf>
    <xf numFmtId="0" fontId="3" fillId="3" borderId="19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right" vertical="top" wrapText="1"/>
    </xf>
    <xf numFmtId="0" fontId="16" fillId="3" borderId="19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0" fillId="0" borderId="0" xfId="0" applyNumberForma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V2612 Oph -- O-C Diagr.</a:t>
            </a:r>
          </a:p>
        </c:rich>
      </c:tx>
      <c:layout>
        <c:manualLayout>
          <c:xMode val="edge"/>
          <c:yMode val="edge"/>
          <c:x val="0.3568219040086255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3768863599697"/>
          <c:y val="0.15315378370496482"/>
          <c:w val="0.82708708637807082"/>
          <c:h val="0.68568726206521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Active!$H$21:$H$59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9-4BCD-8A07-CE71B11E31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Active!$I$21:$I$59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39-4BCD-8A07-CE71B11E315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  <c:pt idx="39">
                  <c:v>17593</c:v>
                </c:pt>
                <c:pt idx="40">
                  <c:v>18185</c:v>
                </c:pt>
                <c:pt idx="41">
                  <c:v>18306.5</c:v>
                </c:pt>
                <c:pt idx="42">
                  <c:v>18306.5</c:v>
                </c:pt>
                <c:pt idx="43">
                  <c:v>18306.5</c:v>
                </c:pt>
                <c:pt idx="44">
                  <c:v>18453.5</c:v>
                </c:pt>
                <c:pt idx="45">
                  <c:v>19415.5</c:v>
                </c:pt>
              </c:numCache>
            </c:numRef>
          </c:xVal>
          <c:yVal>
            <c:numRef>
              <c:f>Active!$J$21:$J$590</c:f>
              <c:numCache>
                <c:formatCode>General</c:formatCode>
                <c:ptCount val="570"/>
                <c:pt idx="10">
                  <c:v>1.3931999994383659E-2</c:v>
                </c:pt>
                <c:pt idx="12">
                  <c:v>1.3063999991572928E-2</c:v>
                </c:pt>
                <c:pt idx="14">
                  <c:v>1.2555999994219746E-2</c:v>
                </c:pt>
                <c:pt idx="22">
                  <c:v>9.7035999999206979E-2</c:v>
                </c:pt>
                <c:pt idx="32">
                  <c:v>0.12650399999256479</c:v>
                </c:pt>
                <c:pt idx="33">
                  <c:v>0.13946800000121584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39-4BCD-8A07-CE71B11E315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Active!$F$21:$F$590</c:f>
              <c:numCache>
                <c:formatCode>General</c:formatCode>
                <c:ptCount val="570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  <c:pt idx="39">
                  <c:v>17593</c:v>
                </c:pt>
                <c:pt idx="40">
                  <c:v>18185</c:v>
                </c:pt>
                <c:pt idx="41">
                  <c:v>18306.5</c:v>
                </c:pt>
                <c:pt idx="42">
                  <c:v>18306.5</c:v>
                </c:pt>
                <c:pt idx="43">
                  <c:v>18306.5</c:v>
                </c:pt>
                <c:pt idx="44">
                  <c:v>18453.5</c:v>
                </c:pt>
                <c:pt idx="45">
                  <c:v>19415.5</c:v>
                </c:pt>
              </c:numCache>
            </c:numRef>
          </c:xVal>
          <c:yVal>
            <c:numRef>
              <c:f>Active!$K$21:$K$590</c:f>
              <c:numCache>
                <c:formatCode>General</c:formatCode>
                <c:ptCount val="570"/>
                <c:pt idx="0">
                  <c:v>-5.6120000008377247E-3</c:v>
                </c:pt>
                <c:pt idx="1">
                  <c:v>-5.3880000050412491E-3</c:v>
                </c:pt>
                <c:pt idx="2">
                  <c:v>-6.6599999991012737E-3</c:v>
                </c:pt>
                <c:pt idx="3">
                  <c:v>-5.300000004353933E-3</c:v>
                </c:pt>
                <c:pt idx="5">
                  <c:v>-4.6280000024125911E-3</c:v>
                </c:pt>
                <c:pt idx="6">
                  <c:v>-5.1040000034845434E-3</c:v>
                </c:pt>
                <c:pt idx="7">
                  <c:v>-5.5159999974421225E-3</c:v>
                </c:pt>
                <c:pt idx="8">
                  <c:v>-4.3440000081318431E-3</c:v>
                </c:pt>
                <c:pt idx="9">
                  <c:v>-1.1880000092787668E-3</c:v>
                </c:pt>
                <c:pt idx="11">
                  <c:v>1.3931999994383659E-2</c:v>
                </c:pt>
                <c:pt idx="13">
                  <c:v>1.3063999991572928E-2</c:v>
                </c:pt>
                <c:pt idx="15">
                  <c:v>1.2555999994219746E-2</c:v>
                </c:pt>
                <c:pt idx="16">
                  <c:v>7.1387999996659346E-2</c:v>
                </c:pt>
                <c:pt idx="17">
                  <c:v>8.4851999999955297E-2</c:v>
                </c:pt>
                <c:pt idx="18">
                  <c:v>8.4463999992294703E-2</c:v>
                </c:pt>
                <c:pt idx="19">
                  <c:v>8.2419999991543591E-2</c:v>
                </c:pt>
                <c:pt idx="20">
                  <c:v>9.4275999996170867E-2</c:v>
                </c:pt>
                <c:pt idx="21">
                  <c:v>9.3575999992026482E-2</c:v>
                </c:pt>
                <c:pt idx="23">
                  <c:v>0.1031719999955385</c:v>
                </c:pt>
                <c:pt idx="24">
                  <c:v>0.10444399999687448</c:v>
                </c:pt>
                <c:pt idx="25">
                  <c:v>0.10447999999450985</c:v>
                </c:pt>
                <c:pt idx="26">
                  <c:v>0.10725199999433244</c:v>
                </c:pt>
                <c:pt idx="27">
                  <c:v>0.11456799999723444</c:v>
                </c:pt>
                <c:pt idx="28">
                  <c:v>0.1121759999950882</c:v>
                </c:pt>
                <c:pt idx="29">
                  <c:v>0.11350400000083027</c:v>
                </c:pt>
                <c:pt idx="30">
                  <c:v>0.11303600000246661</c:v>
                </c:pt>
                <c:pt idx="31">
                  <c:v>0.12417599999753293</c:v>
                </c:pt>
                <c:pt idx="34">
                  <c:v>0.13189199999760604</c:v>
                </c:pt>
                <c:pt idx="35">
                  <c:v>0.14294399999198504</c:v>
                </c:pt>
                <c:pt idx="36">
                  <c:v>0.16257200000109151</c:v>
                </c:pt>
                <c:pt idx="37">
                  <c:v>0.15900799999508308</c:v>
                </c:pt>
                <c:pt idx="38">
                  <c:v>0.15910799999255687</c:v>
                </c:pt>
                <c:pt idx="39">
                  <c:v>0.16257200000109151</c:v>
                </c:pt>
                <c:pt idx="40">
                  <c:v>0.17553999985102564</c:v>
                </c:pt>
                <c:pt idx="41">
                  <c:v>0.16667599991342286</c:v>
                </c:pt>
                <c:pt idx="42">
                  <c:v>0.16737600012129406</c:v>
                </c:pt>
                <c:pt idx="43">
                  <c:v>0.16847600011533359</c:v>
                </c:pt>
                <c:pt idx="44">
                  <c:v>0.16806399999768473</c:v>
                </c:pt>
                <c:pt idx="45">
                  <c:v>0.17661199999565724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39-4BCD-8A07-CE71B11E315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Active!$L$21:$L$59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39-4BCD-8A07-CE71B11E31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Active!$M$21:$M$59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39-4BCD-8A07-CE71B11E31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Active!$N$21:$N$59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39-4BCD-8A07-CE71B11E31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Active!$O$21:$O$59</c:f>
              <c:numCache>
                <c:formatCode>General</c:formatCode>
                <c:ptCount val="39"/>
                <c:pt idx="0">
                  <c:v>4.8957605890184192E-2</c:v>
                </c:pt>
                <c:pt idx="1">
                  <c:v>4.9077660954209554E-2</c:v>
                </c:pt>
                <c:pt idx="2">
                  <c:v>4.9285323767658817E-2</c:v>
                </c:pt>
                <c:pt idx="3">
                  <c:v>4.9301547424959541E-2</c:v>
                </c:pt>
                <c:pt idx="4">
                  <c:v>4.9301547424959541E-2</c:v>
                </c:pt>
                <c:pt idx="5">
                  <c:v>4.9337239471021137E-2</c:v>
                </c:pt>
                <c:pt idx="6">
                  <c:v>4.9457294535046492E-2</c:v>
                </c:pt>
                <c:pt idx="7">
                  <c:v>4.9681181005796479E-2</c:v>
                </c:pt>
                <c:pt idx="8">
                  <c:v>4.9716873051858075E-2</c:v>
                </c:pt>
                <c:pt idx="9">
                  <c:v>4.988884381924575E-2</c:v>
                </c:pt>
                <c:pt idx="10">
                  <c:v>5.5193979756582467E-2</c:v>
                </c:pt>
                <c:pt idx="11">
                  <c:v>5.5193979756582467E-2</c:v>
                </c:pt>
                <c:pt idx="12">
                  <c:v>5.524589545994478E-2</c:v>
                </c:pt>
                <c:pt idx="13">
                  <c:v>5.524589545994478E-2</c:v>
                </c:pt>
                <c:pt idx="14">
                  <c:v>5.5314034820607823E-2</c:v>
                </c:pt>
                <c:pt idx="15">
                  <c:v>5.5314034820607823E-2</c:v>
                </c:pt>
                <c:pt idx="16">
                  <c:v>8.6353135968352812E-2</c:v>
                </c:pt>
                <c:pt idx="17">
                  <c:v>9.3027548581870637E-2</c:v>
                </c:pt>
                <c:pt idx="18">
                  <c:v>9.3209253543638737E-2</c:v>
                </c:pt>
                <c:pt idx="19">
                  <c:v>9.403017060305538E-2</c:v>
                </c:pt>
                <c:pt idx="20">
                  <c:v>9.8663647128142129E-2</c:v>
                </c:pt>
                <c:pt idx="21">
                  <c:v>9.9474829993178332E-2</c:v>
                </c:pt>
                <c:pt idx="22">
                  <c:v>9.9977763369500761E-2</c:v>
                </c:pt>
                <c:pt idx="23">
                  <c:v>0.10457879257998606</c:v>
                </c:pt>
                <c:pt idx="24">
                  <c:v>0.10518231263157299</c:v>
                </c:pt>
                <c:pt idx="25">
                  <c:v>0.10588966408988457</c:v>
                </c:pt>
                <c:pt idx="26">
                  <c:v>0.10592535613594614</c:v>
                </c:pt>
                <c:pt idx="27">
                  <c:v>0.11187294890239154</c:v>
                </c:pt>
                <c:pt idx="28">
                  <c:v>0.11196704611473574</c:v>
                </c:pt>
                <c:pt idx="29">
                  <c:v>0.11201247235517776</c:v>
                </c:pt>
                <c:pt idx="30">
                  <c:v>0.11206438805854008</c:v>
                </c:pt>
                <c:pt idx="31">
                  <c:v>0.12470261709580401</c:v>
                </c:pt>
                <c:pt idx="32">
                  <c:v>0.13148086111604645</c:v>
                </c:pt>
                <c:pt idx="33">
                  <c:v>0.13734409086452809</c:v>
                </c:pt>
                <c:pt idx="34">
                  <c:v>0.13073132814875302</c:v>
                </c:pt>
                <c:pt idx="35">
                  <c:v>0.1437946170072959</c:v>
                </c:pt>
                <c:pt idx="36">
                  <c:v>0.16347066858161388</c:v>
                </c:pt>
                <c:pt idx="37">
                  <c:v>0.16158223487180962</c:v>
                </c:pt>
                <c:pt idx="38">
                  <c:v>0.16158223487180962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39-4BCD-8A07-CE71B11E315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Active!$F$21:$F$59</c:f>
              <c:numCache>
                <c:formatCode>General</c:formatCode>
                <c:ptCount val="39"/>
                <c:pt idx="0">
                  <c:v>-53</c:v>
                </c:pt>
                <c:pt idx="1">
                  <c:v>-34.5</c:v>
                </c:pt>
                <c:pt idx="2">
                  <c:v>-2.5</c:v>
                </c:pt>
                <c:pt idx="3">
                  <c:v>0</c:v>
                </c:pt>
                <c:pt idx="4">
                  <c:v>0</c:v>
                </c:pt>
                <c:pt idx="5">
                  <c:v>5.5</c:v>
                </c:pt>
                <c:pt idx="6">
                  <c:v>24</c:v>
                </c:pt>
                <c:pt idx="7">
                  <c:v>58.5</c:v>
                </c:pt>
                <c:pt idx="8">
                  <c:v>64</c:v>
                </c:pt>
                <c:pt idx="9">
                  <c:v>90.5</c:v>
                </c:pt>
                <c:pt idx="10">
                  <c:v>908</c:v>
                </c:pt>
                <c:pt idx="11">
                  <c:v>908</c:v>
                </c:pt>
                <c:pt idx="12">
                  <c:v>916</c:v>
                </c:pt>
                <c:pt idx="13">
                  <c:v>916</c:v>
                </c:pt>
                <c:pt idx="14">
                  <c:v>926.5</c:v>
                </c:pt>
                <c:pt idx="15">
                  <c:v>926.5</c:v>
                </c:pt>
                <c:pt idx="16">
                  <c:v>5709.5</c:v>
                </c:pt>
                <c:pt idx="17">
                  <c:v>6738</c:v>
                </c:pt>
                <c:pt idx="18">
                  <c:v>6766</c:v>
                </c:pt>
                <c:pt idx="19">
                  <c:v>6892.5</c:v>
                </c:pt>
                <c:pt idx="20">
                  <c:v>7606.5</c:v>
                </c:pt>
                <c:pt idx="21">
                  <c:v>7731.5</c:v>
                </c:pt>
                <c:pt idx="22">
                  <c:v>7809</c:v>
                </c:pt>
                <c:pt idx="23">
                  <c:v>8518</c:v>
                </c:pt>
                <c:pt idx="24">
                  <c:v>8611</c:v>
                </c:pt>
                <c:pt idx="25">
                  <c:v>8720</c:v>
                </c:pt>
                <c:pt idx="26">
                  <c:v>8725.5</c:v>
                </c:pt>
                <c:pt idx="27">
                  <c:v>9642</c:v>
                </c:pt>
                <c:pt idx="28">
                  <c:v>9656.5</c:v>
                </c:pt>
                <c:pt idx="29">
                  <c:v>9663.5</c:v>
                </c:pt>
                <c:pt idx="30">
                  <c:v>9671.5</c:v>
                </c:pt>
                <c:pt idx="31">
                  <c:v>11619</c:v>
                </c:pt>
                <c:pt idx="32">
                  <c:v>12663.5</c:v>
                </c:pt>
                <c:pt idx="33">
                  <c:v>13567</c:v>
                </c:pt>
                <c:pt idx="34">
                  <c:v>12548</c:v>
                </c:pt>
                <c:pt idx="35">
                  <c:v>14561</c:v>
                </c:pt>
                <c:pt idx="36">
                  <c:v>17593</c:v>
                </c:pt>
                <c:pt idx="37">
                  <c:v>17302</c:v>
                </c:pt>
                <c:pt idx="38">
                  <c:v>17302</c:v>
                </c:pt>
              </c:numCache>
            </c:numRef>
          </c:xVal>
          <c:yVal>
            <c:numRef>
              <c:f>Active!$U$21:$U$59</c:f>
              <c:numCache>
                <c:formatCode>General</c:formatCode>
                <c:ptCount val="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39-4BCD-8A07-CE71B11E315C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-3.7083137092953036E-2</c:v>
                </c:pt>
                <c:pt idx="1">
                  <c:v>-1.9883139426159609E-2</c:v>
                </c:pt>
                <c:pt idx="2">
                  <c:v>-3.5088083902793869E-3</c:v>
                </c:pt>
                <c:pt idx="3">
                  <c:v>1.2039856014687622E-2</c:v>
                </c:pt>
                <c:pt idx="4">
                  <c:v>2.6762853788741419E-2</c:v>
                </c:pt>
                <c:pt idx="5">
                  <c:v>4.0660184931882011E-2</c:v>
                </c:pt>
                <c:pt idx="6">
                  <c:v>5.3731849444109386E-2</c:v>
                </c:pt>
                <c:pt idx="7">
                  <c:v>6.5977847325423555E-2</c:v>
                </c:pt>
                <c:pt idx="8">
                  <c:v>7.7398178575824511E-2</c:v>
                </c:pt>
                <c:pt idx="9">
                  <c:v>8.799284319531224E-2</c:v>
                </c:pt>
                <c:pt idx="10">
                  <c:v>9.7761841183886797E-2</c:v>
                </c:pt>
                <c:pt idx="11">
                  <c:v>0.10670517254154809</c:v>
                </c:pt>
                <c:pt idx="12">
                  <c:v>0.11482283726829622</c:v>
                </c:pt>
                <c:pt idx="13">
                  <c:v>0.12211483536413109</c:v>
                </c:pt>
                <c:pt idx="14">
                  <c:v>0.1285811668290528</c:v>
                </c:pt>
                <c:pt idx="15">
                  <c:v>0.13422183166306129</c:v>
                </c:pt>
                <c:pt idx="16">
                  <c:v>0.13903682986615651</c:v>
                </c:pt>
                <c:pt idx="17">
                  <c:v>0.1430261614383386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39-4BCD-8A07-CE71B11E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5424"/>
        <c:axId val="1"/>
      </c:scatterChart>
      <c:valAx>
        <c:axId val="73024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409444883857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98750624687656E-2"/>
              <c:y val="0.39239365349601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54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42744375843575"/>
          <c:y val="0.90090342310814753"/>
          <c:w val="0.802099580131194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17</xdr:col>
      <xdr:colOff>142875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69958C-5F7E-720B-AD25-237B5F329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75" TargetMode="External"/><Relationship Id="rId13" Type="http://schemas.openxmlformats.org/officeDocument/2006/relationships/hyperlink" Target="http://www.konkoly.hu/cgi-bin/IBVS?5898" TargetMode="External"/><Relationship Id="rId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konkoly.hu/cgi-bin/IBVS?6075" TargetMode="External"/><Relationship Id="rId12" Type="http://schemas.openxmlformats.org/officeDocument/2006/relationships/hyperlink" Target="http://www.konkoly.hu/cgi-bin/IBVS?5980" TargetMode="External"/><Relationship Id="rId17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var.astro.cz/oejv/issues/oejv0116.pdf" TargetMode="External"/><Relationship Id="rId16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konkoly.hu/cgi-bin/IBVS?5898" TargetMode="External"/><Relationship Id="rId6" Type="http://schemas.openxmlformats.org/officeDocument/2006/relationships/hyperlink" Target="http://www.konkoly.hu/cgi-bin/IBVS?6029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6005" TargetMode="External"/><Relationship Id="rId15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6005" TargetMode="External"/><Relationship Id="rId9" Type="http://schemas.openxmlformats.org/officeDocument/2006/relationships/hyperlink" Target="http://www.bav-astro.de/sfs/BAVM_link.php?BAVMnr=238" TargetMode="External"/><Relationship Id="rId14" Type="http://schemas.openxmlformats.org/officeDocument/2006/relationships/hyperlink" Target="http://www.konkoly.hu/cgi-bin/IBVS?6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5703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E1" s="3"/>
      <c r="F1" s="3"/>
      <c r="G1" s="4" t="s">
        <v>1</v>
      </c>
      <c r="H1" s="5" t="s">
        <v>2</v>
      </c>
      <c r="I1" s="6" t="s">
        <v>3</v>
      </c>
      <c r="J1" s="6" t="s">
        <v>3</v>
      </c>
      <c r="K1" s="7">
        <v>52454.710700000003</v>
      </c>
      <c r="L1" s="7">
        <v>0.37529600000000002</v>
      </c>
      <c r="V1" s="8" t="s">
        <v>4</v>
      </c>
      <c r="W1" s="9" t="s">
        <v>5</v>
      </c>
    </row>
    <row r="2" spans="1:23" x14ac:dyDescent="0.2">
      <c r="A2" s="1" t="s">
        <v>6</v>
      </c>
      <c r="B2" s="1" t="s">
        <v>1</v>
      </c>
      <c r="C2" s="10"/>
      <c r="V2" s="1">
        <v>-2000</v>
      </c>
      <c r="W2" s="1">
        <f t="shared" ref="W2:W17" si="0">+D$11+D$12*V2+D$13*V2^2</f>
        <v>-3.7083137092953036E-2</v>
      </c>
    </row>
    <row r="3" spans="1:23" x14ac:dyDescent="0.2">
      <c r="V3" s="1">
        <v>-1000</v>
      </c>
      <c r="W3" s="1">
        <f t="shared" si="0"/>
        <v>-1.9883139426159609E-2</v>
      </c>
    </row>
    <row r="4" spans="1:23" x14ac:dyDescent="0.2">
      <c r="A4" s="11" t="s">
        <v>7</v>
      </c>
      <c r="C4" s="12">
        <v>52454.710700000003</v>
      </c>
      <c r="D4" s="13">
        <v>0.37529600000000002</v>
      </c>
      <c r="F4" s="14" t="str">
        <f>"F"&amp;B9</f>
        <v>F44</v>
      </c>
      <c r="G4" s="15" t="str">
        <f>"G"&amp;B9</f>
        <v>G44</v>
      </c>
      <c r="V4" s="1">
        <v>0</v>
      </c>
      <c r="W4" s="1">
        <f t="shared" si="0"/>
        <v>-3.5088083902793869E-3</v>
      </c>
    </row>
    <row r="5" spans="1:23" x14ac:dyDescent="0.2">
      <c r="A5" s="16" t="s">
        <v>8</v>
      </c>
      <c r="B5"/>
      <c r="C5" s="17">
        <v>-9.5</v>
      </c>
      <c r="D5" t="s">
        <v>9</v>
      </c>
      <c r="V5" s="1">
        <v>1000</v>
      </c>
      <c r="W5" s="1">
        <f t="shared" si="0"/>
        <v>1.2039856014687622E-2</v>
      </c>
    </row>
    <row r="6" spans="1:23" x14ac:dyDescent="0.2">
      <c r="A6" s="18" t="s">
        <v>10</v>
      </c>
      <c r="V6" s="1">
        <v>2000</v>
      </c>
      <c r="W6" s="1">
        <f t="shared" si="0"/>
        <v>2.6762853788741419E-2</v>
      </c>
    </row>
    <row r="7" spans="1:23" x14ac:dyDescent="0.2">
      <c r="A7" s="1" t="s">
        <v>11</v>
      </c>
      <c r="C7" s="1">
        <v>52454.710700000003</v>
      </c>
      <c r="V7" s="1">
        <v>3000</v>
      </c>
      <c r="W7" s="1">
        <f t="shared" si="0"/>
        <v>4.0660184931882011E-2</v>
      </c>
    </row>
    <row r="8" spans="1:23" x14ac:dyDescent="0.2">
      <c r="A8" s="1" t="s">
        <v>12</v>
      </c>
      <c r="C8" s="1">
        <v>0.37529600000000002</v>
      </c>
      <c r="D8" s="19" t="s">
        <v>2</v>
      </c>
      <c r="V8" s="1">
        <v>4000</v>
      </c>
      <c r="W8" s="1">
        <f t="shared" si="0"/>
        <v>5.3731849444109386E-2</v>
      </c>
    </row>
    <row r="9" spans="1:23" x14ac:dyDescent="0.2">
      <c r="A9" s="20" t="s">
        <v>13</v>
      </c>
      <c r="B9" s="21">
        <v>44</v>
      </c>
      <c r="C9" s="14" t="str">
        <f>"F"&amp;B9</f>
        <v>F44</v>
      </c>
      <c r="D9" s="15" t="str">
        <f>"G"&amp;B9</f>
        <v>G44</v>
      </c>
      <c r="V9" s="1">
        <v>5000</v>
      </c>
      <c r="W9" s="1">
        <f t="shared" si="0"/>
        <v>6.5977847325423555E-2</v>
      </c>
    </row>
    <row r="10" spans="1:23" x14ac:dyDescent="0.2">
      <c r="A10"/>
      <c r="B10"/>
      <c r="C10" s="8" t="s">
        <v>14</v>
      </c>
      <c r="D10" s="8" t="s">
        <v>15</v>
      </c>
      <c r="E10"/>
      <c r="V10" s="1">
        <v>6000</v>
      </c>
      <c r="W10" s="1">
        <f t="shared" si="0"/>
        <v>7.7398178575824511E-2</v>
      </c>
    </row>
    <row r="11" spans="1:23" x14ac:dyDescent="0.2">
      <c r="A11" t="s">
        <v>16</v>
      </c>
      <c r="B11"/>
      <c r="C11" s="22">
        <f ca="1">INTERCEPT(INDIRECT($D$9):G989,INDIRECT($C$9):F989)</f>
        <v>4.9301547424959541E-2</v>
      </c>
      <c r="D11" s="23">
        <f>+E11*F11</f>
        <v>-3.5088083902793869E-3</v>
      </c>
      <c r="E11" s="24">
        <v>-3.5088083902793869E-3</v>
      </c>
      <c r="F11" s="1">
        <v>1</v>
      </c>
      <c r="V11" s="1">
        <v>7000</v>
      </c>
      <c r="W11" s="1">
        <f t="shared" si="0"/>
        <v>8.799284319531224E-2</v>
      </c>
    </row>
    <row r="12" spans="1:23" x14ac:dyDescent="0.2">
      <c r="A12" t="s">
        <v>17</v>
      </c>
      <c r="B12"/>
      <c r="C12" s="22">
        <f ca="1">SLOPE(INDIRECT($D$9):G989,INDIRECT($C$9):F989)</f>
        <v>6.4894629202895663E-6</v>
      </c>
      <c r="D12" s="23">
        <f>+E12*F12</f>
        <v>1.5961497720423614E-5</v>
      </c>
      <c r="E12" s="25">
        <v>0.15961497720423612</v>
      </c>
      <c r="F12" s="26">
        <v>1E-4</v>
      </c>
      <c r="V12" s="1">
        <v>8000</v>
      </c>
      <c r="W12" s="1">
        <f t="shared" si="0"/>
        <v>9.7761841183886797E-2</v>
      </c>
    </row>
    <row r="13" spans="1:23" x14ac:dyDescent="0.2">
      <c r="A13" t="s">
        <v>18</v>
      </c>
      <c r="B13"/>
      <c r="C13" s="23" t="s">
        <v>19</v>
      </c>
      <c r="D13" s="23">
        <f>+E13*F13</f>
        <v>-4.128333154566054E-10</v>
      </c>
      <c r="E13" s="27">
        <v>-4.1283331545660537E-2</v>
      </c>
      <c r="F13" s="26">
        <v>1E-8</v>
      </c>
      <c r="V13" s="1">
        <v>9000</v>
      </c>
      <c r="W13" s="1">
        <f t="shared" si="0"/>
        <v>0.10670517254154809</v>
      </c>
    </row>
    <row r="14" spans="1:23" x14ac:dyDescent="0.2">
      <c r="A14"/>
      <c r="B14"/>
      <c r="C14"/>
      <c r="E14" s="1">
        <f>SUM(T21:T265)</f>
        <v>3.2286823880158266E-3</v>
      </c>
      <c r="V14" s="1">
        <v>10000</v>
      </c>
      <c r="W14" s="1">
        <f t="shared" si="0"/>
        <v>0.11482283726829622</v>
      </c>
    </row>
    <row r="15" spans="1:23" x14ac:dyDescent="0.2">
      <c r="A15" s="28" t="s">
        <v>20</v>
      </c>
      <c r="B15"/>
      <c r="C15" s="29">
        <f ca="1">(C7+C11)+(C8+C12)*INT(MAX(F21:F3530))</f>
        <v>59741.257834470031</v>
      </c>
      <c r="D15" s="15">
        <f>+C7+INT(MAX(F21:F1588))*C8+D11+D12*INT(MAX(F21:F4023))+D13*INT(MAX(F21:F4050)^2)</f>
        <v>59741.233301346212</v>
      </c>
      <c r="E15" s="20" t="s">
        <v>21</v>
      </c>
      <c r="F15" s="17">
        <v>1</v>
      </c>
      <c r="V15" s="1">
        <v>11000</v>
      </c>
      <c r="W15" s="1">
        <f t="shared" si="0"/>
        <v>0.12211483536413109</v>
      </c>
    </row>
    <row r="16" spans="1:23" x14ac:dyDescent="0.2">
      <c r="A16" s="28" t="s">
        <v>22</v>
      </c>
      <c r="B16"/>
      <c r="C16" s="29">
        <f ca="1">+C8+C12</f>
        <v>0.37530248946292033</v>
      </c>
      <c r="D16" s="15">
        <f>+C8+D12+2*D13*MAX(F21:F896)</f>
        <v>0.37529593076724793</v>
      </c>
      <c r="E16" s="20" t="s">
        <v>23</v>
      </c>
      <c r="F16" s="22">
        <f ca="1">NOW()+15018.5+$C$5/24</f>
        <v>60368.740477430554</v>
      </c>
      <c r="V16" s="1">
        <v>12000</v>
      </c>
      <c r="W16" s="1">
        <f t="shared" si="0"/>
        <v>0.1285811668290528</v>
      </c>
    </row>
    <row r="17" spans="1:24" x14ac:dyDescent="0.2">
      <c r="A17" s="20" t="s">
        <v>24</v>
      </c>
      <c r="B17"/>
      <c r="C17">
        <f>COUNT(C21:C2188)</f>
        <v>46</v>
      </c>
      <c r="E17" s="20" t="s">
        <v>25</v>
      </c>
      <c r="F17" s="22">
        <f ca="1">ROUND(2*(F16-$C$7)/$C$8,0)/2+F15</f>
        <v>21088.5</v>
      </c>
      <c r="V17" s="1">
        <v>13000</v>
      </c>
      <c r="W17" s="1">
        <f t="shared" si="0"/>
        <v>0.13422183166306129</v>
      </c>
    </row>
    <row r="18" spans="1:24" x14ac:dyDescent="0.2">
      <c r="A18" s="18" t="s">
        <v>26</v>
      </c>
      <c r="C18" s="30">
        <f ca="1">+C15</f>
        <v>59741.257834470031</v>
      </c>
      <c r="D18" s="31">
        <f ca="1">C16</f>
        <v>0.37530248946292033</v>
      </c>
      <c r="E18" s="20" t="s">
        <v>27</v>
      </c>
      <c r="F18" s="15">
        <f ca="1">ROUND(2*(F16-$C$15)/$C$16,0)/2+F15</f>
        <v>1673</v>
      </c>
      <c r="V18" s="1">
        <v>14000</v>
      </c>
      <c r="W18" s="1">
        <f>+D$11+D$12*V18+D$13*V18^2</f>
        <v>0.13903682986615651</v>
      </c>
    </row>
    <row r="19" spans="1:24" x14ac:dyDescent="0.2">
      <c r="A19" s="18" t="s">
        <v>28</v>
      </c>
      <c r="C19" s="32">
        <f>+D15</f>
        <v>59741.233301346212</v>
      </c>
      <c r="D19" s="33">
        <f>+D16</f>
        <v>0.37529593076724793</v>
      </c>
      <c r="E19" s="20" t="s">
        <v>29</v>
      </c>
      <c r="F19" s="34">
        <f ca="1">+$C$15+$C$16*F18-15018.5-$C$5/24</f>
        <v>45351.034732674831</v>
      </c>
      <c r="V19" s="1">
        <v>15000</v>
      </c>
      <c r="W19" s="1">
        <f>+D$11+D$12*V19+D$13*V19^2</f>
        <v>0.1430261614383386</v>
      </c>
    </row>
    <row r="20" spans="1:24" ht="14.25" x14ac:dyDescent="0.2">
      <c r="A20" s="8" t="s">
        <v>30</v>
      </c>
      <c r="B20" s="8" t="s">
        <v>31</v>
      </c>
      <c r="C20" s="8" t="s">
        <v>32</v>
      </c>
      <c r="D20" s="8" t="s">
        <v>33</v>
      </c>
      <c r="E20" s="8" t="s">
        <v>34</v>
      </c>
      <c r="F20" s="8" t="s">
        <v>4</v>
      </c>
      <c r="G20" s="8" t="s">
        <v>35</v>
      </c>
      <c r="H20" s="9" t="s">
        <v>36</v>
      </c>
      <c r="I20" s="9" t="s">
        <v>37</v>
      </c>
      <c r="J20" s="9" t="s">
        <v>38</v>
      </c>
      <c r="K20" s="9" t="s">
        <v>39</v>
      </c>
      <c r="L20" s="9" t="s">
        <v>40</v>
      </c>
      <c r="M20" s="9" t="s">
        <v>41</v>
      </c>
      <c r="N20" s="9" t="s">
        <v>42</v>
      </c>
      <c r="O20" s="9" t="s">
        <v>43</v>
      </c>
      <c r="P20" s="35" t="s">
        <v>5</v>
      </c>
      <c r="Q20" s="8" t="s">
        <v>44</v>
      </c>
      <c r="R20" s="9" t="s">
        <v>45</v>
      </c>
      <c r="S20" s="9" t="s">
        <v>46</v>
      </c>
      <c r="T20" s="9" t="s">
        <v>47</v>
      </c>
      <c r="U20" s="36" t="s">
        <v>48</v>
      </c>
    </row>
    <row r="21" spans="1:24" x14ac:dyDescent="0.2">
      <c r="A21" s="15" t="s">
        <v>49</v>
      </c>
      <c r="B21" s="23" t="s">
        <v>50</v>
      </c>
      <c r="C21" s="10">
        <v>52434.814400000003</v>
      </c>
      <c r="D21" s="10">
        <v>2.9999999999999997E-4</v>
      </c>
      <c r="E21" s="1">
        <f t="shared" ref="E21:E53" si="1">+(C21-C$7)/C$8</f>
        <v>-53.014953530014537</v>
      </c>
      <c r="F21" s="1">
        <f t="shared" ref="F21:F40" si="2">ROUND(2*E21,0)/2</f>
        <v>-53</v>
      </c>
      <c r="G21" s="1">
        <f t="shared" ref="G21:G53" si="3">+C21-(C$7+F21*C$8)</f>
        <v>-5.6120000008377247E-3</v>
      </c>
      <c r="K21" s="1">
        <f>+G21</f>
        <v>-5.6120000008377247E-3</v>
      </c>
      <c r="O21" s="1">
        <f t="shared" ref="O21:O53" ca="1" si="4">+C$11+C$12*$F21</f>
        <v>4.8957605890184192E-2</v>
      </c>
      <c r="P21" s="19">
        <f>+D$11+D$12*F21+D$13*F21^2</f>
        <v>-4.3559274182449559E-3</v>
      </c>
      <c r="Q21" s="79">
        <f>+C21-15018.5</f>
        <v>37416.314400000003</v>
      </c>
      <c r="R21" s="1">
        <f>+(P21-G21)^2</f>
        <v>1.5777183327412679E-6</v>
      </c>
      <c r="S21" s="23">
        <v>1</v>
      </c>
      <c r="T21" s="1">
        <f>+S21*R21</f>
        <v>1.5777183327412679E-6</v>
      </c>
      <c r="U21" s="37"/>
      <c r="X21" s="1" t="s">
        <v>51</v>
      </c>
    </row>
    <row r="22" spans="1:24" x14ac:dyDescent="0.2">
      <c r="A22" s="15" t="s">
        <v>49</v>
      </c>
      <c r="B22" s="23" t="s">
        <v>52</v>
      </c>
      <c r="C22" s="10">
        <v>52441.757599999997</v>
      </c>
      <c r="D22" s="10">
        <v>2.0000000000000001E-4</v>
      </c>
      <c r="E22" s="1">
        <f t="shared" si="1"/>
        <v>-34.514356667819769</v>
      </c>
      <c r="F22" s="1">
        <f t="shared" si="2"/>
        <v>-34.5</v>
      </c>
      <c r="G22" s="1">
        <f t="shared" si="3"/>
        <v>-5.3880000050412491E-3</v>
      </c>
      <c r="K22" s="1">
        <f>+G22</f>
        <v>-5.3880000050412491E-3</v>
      </c>
      <c r="O22" s="1">
        <f t="shared" ca="1" si="4"/>
        <v>4.9077660954209554E-2</v>
      </c>
      <c r="P22" s="19">
        <f t="shared" ref="P22:P55" si="5">+D$11+D$12*F22+D$13*F22^2</f>
        <v>-4.0599714364877235E-3</v>
      </c>
      <c r="Q22" s="79">
        <f t="shared" ref="Q22:Q53" si="6">+C22-15018.5</f>
        <v>37423.257599999997</v>
      </c>
      <c r="R22" s="1">
        <f>+(P22-G22)^2</f>
        <v>1.7636598788943263E-6</v>
      </c>
      <c r="S22" s="23">
        <v>1</v>
      </c>
      <c r="T22" s="1">
        <f>+S22*R22</f>
        <v>1.7636598788943263E-6</v>
      </c>
      <c r="X22" s="1" t="s">
        <v>51</v>
      </c>
    </row>
    <row r="23" spans="1:24" x14ac:dyDescent="0.2">
      <c r="A23" s="15" t="s">
        <v>49</v>
      </c>
      <c r="B23" s="23" t="s">
        <v>52</v>
      </c>
      <c r="C23" s="10">
        <v>52453.765800000001</v>
      </c>
      <c r="D23" s="10">
        <v>4.0000000000000002E-4</v>
      </c>
      <c r="E23" s="1">
        <f t="shared" si="1"/>
        <v>-2.5177459925025452</v>
      </c>
      <c r="F23" s="1">
        <f t="shared" si="2"/>
        <v>-2.5</v>
      </c>
      <c r="G23" s="1">
        <f t="shared" si="3"/>
        <v>-6.6599999991012737E-3</v>
      </c>
      <c r="K23" s="1">
        <f>+G23</f>
        <v>-6.6599999991012737E-3</v>
      </c>
      <c r="O23" s="1">
        <f t="shared" ca="1" si="4"/>
        <v>4.9285323767658817E-2</v>
      </c>
      <c r="P23" s="19">
        <f t="shared" si="5"/>
        <v>-3.5487147147886676E-3</v>
      </c>
      <c r="Q23" s="79">
        <f t="shared" si="6"/>
        <v>37435.265800000001</v>
      </c>
      <c r="R23" s="1">
        <f t="shared" ref="R23:R55" si="7">+(P23-G23)^2</f>
        <v>9.6800961203801748E-6</v>
      </c>
      <c r="S23" s="23">
        <v>1</v>
      </c>
      <c r="T23" s="1">
        <f t="shared" ref="T23:T55" si="8">+S23*R23</f>
        <v>9.6800961203801748E-6</v>
      </c>
      <c r="X23" s="1" t="s">
        <v>51</v>
      </c>
    </row>
    <row r="24" spans="1:24" x14ac:dyDescent="0.2">
      <c r="A24" s="15" t="s">
        <v>49</v>
      </c>
      <c r="B24" s="23" t="s">
        <v>50</v>
      </c>
      <c r="C24" s="10">
        <v>52454.705399999999</v>
      </c>
      <c r="D24" s="10">
        <v>2.9999999999999997E-4</v>
      </c>
      <c r="E24" s="1">
        <f t="shared" si="1"/>
        <v>-1.412218623261088E-2</v>
      </c>
      <c r="F24" s="1">
        <f t="shared" si="2"/>
        <v>0</v>
      </c>
      <c r="G24" s="1">
        <f t="shared" si="3"/>
        <v>-5.300000004353933E-3</v>
      </c>
      <c r="K24" s="1">
        <f>+G24</f>
        <v>-5.300000004353933E-3</v>
      </c>
      <c r="O24" s="1">
        <f t="shared" ca="1" si="4"/>
        <v>4.9301547424959541E-2</v>
      </c>
      <c r="P24" s="19">
        <f t="shared" si="5"/>
        <v>-3.5088083902793869E-3</v>
      </c>
      <c r="Q24" s="79">
        <f t="shared" si="6"/>
        <v>37436.205399999999</v>
      </c>
      <c r="R24" s="1">
        <f t="shared" si="7"/>
        <v>3.2083673983309779E-6</v>
      </c>
      <c r="S24" s="23">
        <v>1</v>
      </c>
      <c r="T24" s="1">
        <f t="shared" si="8"/>
        <v>3.2083673983309779E-6</v>
      </c>
      <c r="X24" s="1" t="s">
        <v>51</v>
      </c>
    </row>
    <row r="25" spans="1:24" x14ac:dyDescent="0.2">
      <c r="A25" s="19" t="s">
        <v>2</v>
      </c>
      <c r="C25" s="10">
        <v>52454.710700000003</v>
      </c>
      <c r="D25" s="10" t="s">
        <v>19</v>
      </c>
      <c r="E25" s="1">
        <f t="shared" si="1"/>
        <v>0</v>
      </c>
      <c r="F25" s="1">
        <f t="shared" si="2"/>
        <v>0</v>
      </c>
      <c r="G25" s="1">
        <f t="shared" si="3"/>
        <v>0</v>
      </c>
      <c r="O25" s="1">
        <f t="shared" ca="1" si="4"/>
        <v>4.9301547424959541E-2</v>
      </c>
      <c r="P25" s="19">
        <f t="shared" si="5"/>
        <v>-3.5088083902793869E-3</v>
      </c>
      <c r="Q25" s="79">
        <f t="shared" si="6"/>
        <v>37436.210700000003</v>
      </c>
      <c r="R25" s="1">
        <f t="shared" si="7"/>
        <v>1.2311736319695023E-5</v>
      </c>
      <c r="S25" s="23">
        <v>1</v>
      </c>
      <c r="T25" s="1">
        <f t="shared" si="8"/>
        <v>1.2311736319695023E-5</v>
      </c>
    </row>
    <row r="26" spans="1:24" x14ac:dyDescent="0.2">
      <c r="A26" s="15" t="s">
        <v>49</v>
      </c>
      <c r="B26" s="23" t="s">
        <v>52</v>
      </c>
      <c r="C26" s="10">
        <v>52456.770199999999</v>
      </c>
      <c r="D26" s="10">
        <v>2.9999999999999997E-4</v>
      </c>
      <c r="E26" s="1">
        <f t="shared" si="1"/>
        <v>5.4876684003979541</v>
      </c>
      <c r="F26" s="1">
        <f t="shared" si="2"/>
        <v>5.5</v>
      </c>
      <c r="G26" s="1">
        <f t="shared" si="3"/>
        <v>-4.6280000024125911E-3</v>
      </c>
      <c r="K26" s="1">
        <f>+G26</f>
        <v>-4.6280000024125911E-3</v>
      </c>
      <c r="O26" s="1">
        <f t="shared" ca="1" si="4"/>
        <v>4.9337239471021137E-2</v>
      </c>
      <c r="P26" s="19">
        <f t="shared" si="5"/>
        <v>-3.4210326410248496E-3</v>
      </c>
      <c r="Q26" s="79">
        <f t="shared" si="6"/>
        <v>37438.270199999999</v>
      </c>
      <c r="R26" s="1">
        <f t="shared" si="7"/>
        <v>1.456770211455287E-6</v>
      </c>
      <c r="S26" s="23">
        <v>1</v>
      </c>
      <c r="T26" s="1">
        <f t="shared" si="8"/>
        <v>1.456770211455287E-6</v>
      </c>
      <c r="X26" s="1" t="s">
        <v>51</v>
      </c>
    </row>
    <row r="27" spans="1:24" x14ac:dyDescent="0.2">
      <c r="A27" s="15" t="s">
        <v>49</v>
      </c>
      <c r="B27" s="23" t="s">
        <v>50</v>
      </c>
      <c r="C27" s="10">
        <v>52463.712699999996</v>
      </c>
      <c r="D27" s="10">
        <v>1.8E-3</v>
      </c>
      <c r="E27" s="1">
        <f t="shared" si="1"/>
        <v>23.98640006819452</v>
      </c>
      <c r="F27" s="1">
        <f t="shared" si="2"/>
        <v>24</v>
      </c>
      <c r="G27" s="1">
        <f t="shared" si="3"/>
        <v>-5.1040000034845434E-3</v>
      </c>
      <c r="K27" s="1">
        <f>+G27</f>
        <v>-5.1040000034845434E-3</v>
      </c>
      <c r="O27" s="1">
        <f t="shared" ca="1" si="4"/>
        <v>4.9457294535046492E-2</v>
      </c>
      <c r="P27" s="19">
        <f t="shared" si="5"/>
        <v>-3.1259702369789231E-3</v>
      </c>
      <c r="Q27" s="79">
        <f t="shared" si="6"/>
        <v>37445.212699999996</v>
      </c>
      <c r="R27" s="1">
        <f t="shared" si="7"/>
        <v>3.9126017571822789E-6</v>
      </c>
      <c r="S27" s="23">
        <v>1</v>
      </c>
      <c r="T27" s="1">
        <f t="shared" si="8"/>
        <v>3.9126017571822789E-6</v>
      </c>
      <c r="X27" s="1" t="s">
        <v>51</v>
      </c>
    </row>
    <row r="28" spans="1:24" x14ac:dyDescent="0.2">
      <c r="A28" s="15" t="s">
        <v>49</v>
      </c>
      <c r="B28" s="23" t="s">
        <v>52</v>
      </c>
      <c r="C28" s="10">
        <v>52476.66</v>
      </c>
      <c r="D28" s="10">
        <v>6.9999999999999999E-4</v>
      </c>
      <c r="E28" s="1">
        <f t="shared" si="1"/>
        <v>58.485302268076985</v>
      </c>
      <c r="F28" s="1">
        <f t="shared" si="2"/>
        <v>58.5</v>
      </c>
      <c r="G28" s="1">
        <f t="shared" si="3"/>
        <v>-5.5159999974421225E-3</v>
      </c>
      <c r="K28" s="1">
        <f>+G28</f>
        <v>-5.5159999974421225E-3</v>
      </c>
      <c r="O28" s="1">
        <f t="shared" ca="1" si="4"/>
        <v>4.9681181005796479E-2</v>
      </c>
      <c r="P28" s="19">
        <f t="shared" si="5"/>
        <v>-2.5764735924484273E-3</v>
      </c>
      <c r="Q28" s="79">
        <f t="shared" si="6"/>
        <v>37458.160000000003</v>
      </c>
      <c r="R28" s="1">
        <f t="shared" si="7"/>
        <v>8.6408154856551576E-6</v>
      </c>
      <c r="S28" s="23">
        <v>1</v>
      </c>
      <c r="T28" s="1">
        <f t="shared" si="8"/>
        <v>8.6408154856551576E-6</v>
      </c>
      <c r="X28" s="1" t="s">
        <v>51</v>
      </c>
    </row>
    <row r="29" spans="1:24" x14ac:dyDescent="0.2">
      <c r="A29" s="15" t="s">
        <v>49</v>
      </c>
      <c r="B29" s="23" t="s">
        <v>50</v>
      </c>
      <c r="C29" s="10">
        <v>52478.725299999998</v>
      </c>
      <c r="D29" s="10">
        <v>4.0000000000000002E-4</v>
      </c>
      <c r="E29" s="1">
        <f t="shared" si="1"/>
        <v>63.988425136412246</v>
      </c>
      <c r="F29" s="1">
        <f t="shared" si="2"/>
        <v>64</v>
      </c>
      <c r="G29" s="1">
        <f t="shared" si="3"/>
        <v>-4.3440000081318431E-3</v>
      </c>
      <c r="K29" s="1">
        <f>+G29</f>
        <v>-4.3440000081318431E-3</v>
      </c>
      <c r="O29" s="1">
        <f t="shared" ca="1" si="4"/>
        <v>4.9716873051858075E-2</v>
      </c>
      <c r="P29" s="19">
        <f t="shared" si="5"/>
        <v>-2.4889635014323855E-3</v>
      </c>
      <c r="Q29" s="79">
        <f t="shared" si="6"/>
        <v>37460.225299999998</v>
      </c>
      <c r="R29" s="1">
        <f t="shared" si="7"/>
        <v>3.4411604411877268E-6</v>
      </c>
      <c r="S29" s="23">
        <v>1</v>
      </c>
      <c r="T29" s="1">
        <f t="shared" si="8"/>
        <v>3.4411604411877268E-6</v>
      </c>
      <c r="X29" s="1" t="s">
        <v>51</v>
      </c>
    </row>
    <row r="30" spans="1:24" x14ac:dyDescent="0.2">
      <c r="A30" s="15" t="s">
        <v>49</v>
      </c>
      <c r="B30" s="23" t="s">
        <v>52</v>
      </c>
      <c r="C30" s="10">
        <v>52488.673799999997</v>
      </c>
      <c r="D30" s="10">
        <v>5.0000000000000001E-4</v>
      </c>
      <c r="E30" s="1">
        <f t="shared" si="1"/>
        <v>90.496834498618611</v>
      </c>
      <c r="F30" s="1">
        <f t="shared" si="2"/>
        <v>90.5</v>
      </c>
      <c r="G30" s="1">
        <f t="shared" si="3"/>
        <v>-1.1880000092787668E-3</v>
      </c>
      <c r="K30" s="1">
        <f>+G30</f>
        <v>-1.1880000092787668E-3</v>
      </c>
      <c r="O30" s="1">
        <f t="shared" ca="1" si="4"/>
        <v>4.988884381924575E-2</v>
      </c>
      <c r="P30" s="19">
        <f t="shared" si="5"/>
        <v>-2.0676740546429683E-3</v>
      </c>
      <c r="Q30" s="79">
        <f t="shared" si="6"/>
        <v>37470.173799999997</v>
      </c>
      <c r="R30" s="1">
        <f t="shared" si="7"/>
        <v>7.7382642608741935E-7</v>
      </c>
      <c r="S30" s="23">
        <v>1</v>
      </c>
      <c r="T30" s="1">
        <f t="shared" si="8"/>
        <v>7.7382642608741935E-7</v>
      </c>
      <c r="X30" s="1" t="s">
        <v>51</v>
      </c>
    </row>
    <row r="31" spans="1:24" x14ac:dyDescent="0.2">
      <c r="A31" s="38" t="s">
        <v>53</v>
      </c>
      <c r="B31" s="39" t="s">
        <v>50</v>
      </c>
      <c r="C31" s="38">
        <v>52795.493399999999</v>
      </c>
      <c r="D31" s="38">
        <v>4.0000000000000002E-4</v>
      </c>
      <c r="E31" s="1">
        <f t="shared" si="1"/>
        <v>908.03712269780681</v>
      </c>
      <c r="F31" s="1">
        <f t="shared" si="2"/>
        <v>908</v>
      </c>
      <c r="G31" s="1">
        <f t="shared" si="3"/>
        <v>1.3931999994383659E-2</v>
      </c>
      <c r="J31" s="1">
        <f>+G31</f>
        <v>1.3931999994383659E-2</v>
      </c>
      <c r="O31" s="1">
        <f t="shared" ca="1" si="4"/>
        <v>5.5193979756582467E-2</v>
      </c>
      <c r="P31" s="19">
        <f t="shared" si="5"/>
        <v>1.0643865333270639E-2</v>
      </c>
      <c r="Q31" s="79">
        <f t="shared" si="6"/>
        <v>37776.993399999999</v>
      </c>
      <c r="R31" s="1">
        <f t="shared" si="7"/>
        <v>1.0811829549612835E-5</v>
      </c>
      <c r="S31" s="23">
        <v>1</v>
      </c>
      <c r="T31" s="1">
        <f t="shared" si="8"/>
        <v>1.0811829549612835E-5</v>
      </c>
    </row>
    <row r="32" spans="1:24" x14ac:dyDescent="0.2">
      <c r="A32" s="15" t="s">
        <v>49</v>
      </c>
      <c r="B32" s="23" t="s">
        <v>50</v>
      </c>
      <c r="C32" s="10">
        <v>52795.493399999999</v>
      </c>
      <c r="D32" s="10">
        <v>4.0000000000000002E-4</v>
      </c>
      <c r="E32" s="1">
        <f t="shared" si="1"/>
        <v>908.03712269780681</v>
      </c>
      <c r="F32" s="1">
        <f t="shared" si="2"/>
        <v>908</v>
      </c>
      <c r="G32" s="1">
        <f t="shared" si="3"/>
        <v>1.3931999994383659E-2</v>
      </c>
      <c r="K32" s="1">
        <f>+G32</f>
        <v>1.3931999994383659E-2</v>
      </c>
      <c r="O32" s="1">
        <f t="shared" ca="1" si="4"/>
        <v>5.5193979756582467E-2</v>
      </c>
      <c r="P32" s="19">
        <f t="shared" si="5"/>
        <v>1.0643865333270639E-2</v>
      </c>
      <c r="Q32" s="79">
        <f t="shared" si="6"/>
        <v>37776.993399999999</v>
      </c>
      <c r="R32" s="1">
        <f t="shared" si="7"/>
        <v>1.0811829549612835E-5</v>
      </c>
      <c r="S32" s="23">
        <v>1</v>
      </c>
      <c r="T32" s="1">
        <f t="shared" si="8"/>
        <v>1.0811829549612835E-5</v>
      </c>
      <c r="X32" s="1" t="s">
        <v>51</v>
      </c>
    </row>
    <row r="33" spans="1:24" x14ac:dyDescent="0.2">
      <c r="A33" s="38" t="s">
        <v>53</v>
      </c>
      <c r="B33" s="39" t="s">
        <v>50</v>
      </c>
      <c r="C33" s="38">
        <v>52798.494899999998</v>
      </c>
      <c r="D33" s="38">
        <v>5.0000000000000001E-4</v>
      </c>
      <c r="E33" s="1">
        <f t="shared" si="1"/>
        <v>916.03480985673866</v>
      </c>
      <c r="F33" s="1">
        <f t="shared" si="2"/>
        <v>916</v>
      </c>
      <c r="G33" s="1">
        <f t="shared" si="3"/>
        <v>1.3063999991572928E-2</v>
      </c>
      <c r="J33" s="1">
        <f>+G33</f>
        <v>1.3063999991572928E-2</v>
      </c>
      <c r="O33" s="1">
        <f t="shared" ca="1" si="4"/>
        <v>5.524589545994478E-2</v>
      </c>
      <c r="P33" s="19">
        <f t="shared" si="5"/>
        <v>1.0765533251294885E-2</v>
      </c>
      <c r="Q33" s="79">
        <f t="shared" si="6"/>
        <v>37779.994899999998</v>
      </c>
      <c r="R33" s="1">
        <f t="shared" si="7"/>
        <v>5.2829493561643716E-6</v>
      </c>
      <c r="S33" s="23">
        <v>1</v>
      </c>
      <c r="T33" s="1">
        <f t="shared" si="8"/>
        <v>5.2829493561643716E-6</v>
      </c>
    </row>
    <row r="34" spans="1:24" x14ac:dyDescent="0.2">
      <c r="A34" s="15" t="s">
        <v>49</v>
      </c>
      <c r="B34" s="23" t="s">
        <v>50</v>
      </c>
      <c r="C34" s="10">
        <v>52798.494899999998</v>
      </c>
      <c r="D34" s="10">
        <v>5.0000000000000001E-4</v>
      </c>
      <c r="E34" s="1">
        <f t="shared" si="1"/>
        <v>916.03480985673866</v>
      </c>
      <c r="F34" s="1">
        <f t="shared" si="2"/>
        <v>916</v>
      </c>
      <c r="G34" s="1">
        <f t="shared" si="3"/>
        <v>1.3063999991572928E-2</v>
      </c>
      <c r="K34" s="1">
        <f>+G34</f>
        <v>1.3063999991572928E-2</v>
      </c>
      <c r="O34" s="1">
        <f t="shared" ca="1" si="4"/>
        <v>5.524589545994478E-2</v>
      </c>
      <c r="P34" s="19">
        <f t="shared" si="5"/>
        <v>1.0765533251294885E-2</v>
      </c>
      <c r="Q34" s="79">
        <f t="shared" si="6"/>
        <v>37779.994899999998</v>
      </c>
      <c r="R34" s="1">
        <f t="shared" si="7"/>
        <v>5.2829493561643716E-6</v>
      </c>
      <c r="S34" s="23">
        <v>1</v>
      </c>
      <c r="T34" s="1">
        <f t="shared" si="8"/>
        <v>5.2829493561643716E-6</v>
      </c>
      <c r="X34" s="1" t="s">
        <v>51</v>
      </c>
    </row>
    <row r="35" spans="1:24" x14ac:dyDescent="0.2">
      <c r="A35" s="38" t="s">
        <v>53</v>
      </c>
      <c r="B35" s="39" t="s">
        <v>52</v>
      </c>
      <c r="C35" s="38">
        <v>52802.434999999998</v>
      </c>
      <c r="D35" s="38">
        <v>4.0000000000000002E-4</v>
      </c>
      <c r="E35" s="1">
        <f t="shared" si="1"/>
        <v>926.53345625851159</v>
      </c>
      <c r="F35" s="1">
        <f t="shared" si="2"/>
        <v>926.5</v>
      </c>
      <c r="G35" s="1">
        <f t="shared" si="3"/>
        <v>1.2555999994219746E-2</v>
      </c>
      <c r="J35" s="1">
        <f>+G35</f>
        <v>1.2555999994219746E-2</v>
      </c>
      <c r="O35" s="1">
        <f t="shared" ca="1" si="4"/>
        <v>5.5314034820607823E-2</v>
      </c>
      <c r="P35" s="19">
        <f t="shared" si="5"/>
        <v>1.0925142200830179E-2</v>
      </c>
      <c r="Q35" s="79">
        <f t="shared" si="6"/>
        <v>37783.934999999998</v>
      </c>
      <c r="R35" s="1">
        <f t="shared" si="7"/>
        <v>2.6596971422594878E-6</v>
      </c>
      <c r="S35" s="23">
        <v>1</v>
      </c>
      <c r="T35" s="1">
        <f t="shared" si="8"/>
        <v>2.6596971422594878E-6</v>
      </c>
    </row>
    <row r="36" spans="1:24" x14ac:dyDescent="0.2">
      <c r="A36" s="15" t="s">
        <v>49</v>
      </c>
      <c r="B36" s="23" t="s">
        <v>52</v>
      </c>
      <c r="C36" s="10">
        <v>52802.434999999998</v>
      </c>
      <c r="D36" s="10">
        <v>4.0000000000000002E-4</v>
      </c>
      <c r="E36" s="1">
        <f t="shared" si="1"/>
        <v>926.53345625851159</v>
      </c>
      <c r="F36" s="1">
        <f t="shared" si="2"/>
        <v>926.5</v>
      </c>
      <c r="G36" s="1">
        <f t="shared" si="3"/>
        <v>1.2555999994219746E-2</v>
      </c>
      <c r="K36" s="1">
        <f t="shared" ref="K36:K42" si="9">+G36</f>
        <v>1.2555999994219746E-2</v>
      </c>
      <c r="O36" s="1">
        <f t="shared" ca="1" si="4"/>
        <v>5.5314034820607823E-2</v>
      </c>
      <c r="P36" s="19">
        <f t="shared" si="5"/>
        <v>1.0925142200830179E-2</v>
      </c>
      <c r="Q36" s="79">
        <f t="shared" si="6"/>
        <v>37783.934999999998</v>
      </c>
      <c r="R36" s="1">
        <f t="shared" si="7"/>
        <v>2.6596971422594878E-6</v>
      </c>
      <c r="S36" s="23">
        <v>1</v>
      </c>
      <c r="T36" s="1">
        <f t="shared" si="8"/>
        <v>2.6596971422594878E-6</v>
      </c>
      <c r="X36" s="1" t="s">
        <v>51</v>
      </c>
    </row>
    <row r="37" spans="1:24" x14ac:dyDescent="0.2">
      <c r="A37" s="40" t="s">
        <v>54</v>
      </c>
      <c r="B37" s="41" t="s">
        <v>52</v>
      </c>
      <c r="C37" s="40">
        <v>54597.534599999999</v>
      </c>
      <c r="D37" s="40">
        <v>2.0000000000000001E-4</v>
      </c>
      <c r="E37" s="1">
        <f t="shared" si="1"/>
        <v>5709.6902178546952</v>
      </c>
      <c r="F37" s="1">
        <f t="shared" si="2"/>
        <v>5709.5</v>
      </c>
      <c r="G37" s="1">
        <f t="shared" si="3"/>
        <v>7.1387999996659346E-2</v>
      </c>
      <c r="K37" s="1">
        <f t="shared" si="9"/>
        <v>7.1387999996659346E-2</v>
      </c>
      <c r="O37" s="1">
        <f t="shared" ca="1" si="4"/>
        <v>8.6353135968352812E-2</v>
      </c>
      <c r="P37" s="19">
        <f t="shared" si="5"/>
        <v>7.4165661319023468E-2</v>
      </c>
      <c r="Q37" s="79">
        <f t="shared" si="6"/>
        <v>39579.034599999999</v>
      </c>
      <c r="R37" s="1">
        <f t="shared" si="7"/>
        <v>7.7154024217576041E-6</v>
      </c>
      <c r="S37" s="23">
        <v>1</v>
      </c>
      <c r="T37" s="1">
        <f t="shared" si="8"/>
        <v>7.7154024217576041E-6</v>
      </c>
    </row>
    <row r="38" spans="1:24" x14ac:dyDescent="0.2">
      <c r="A38" s="42" t="s">
        <v>55</v>
      </c>
      <c r="B38" s="43" t="s">
        <v>50</v>
      </c>
      <c r="C38" s="44">
        <v>54983.54</v>
      </c>
      <c r="D38" s="44">
        <v>8.0000000000000002E-3</v>
      </c>
      <c r="E38" s="1">
        <f t="shared" si="1"/>
        <v>6738.2260935368286</v>
      </c>
      <c r="F38" s="1">
        <f t="shared" si="2"/>
        <v>6738</v>
      </c>
      <c r="G38" s="1">
        <f t="shared" si="3"/>
        <v>8.4851999999955297E-2</v>
      </c>
      <c r="K38" s="1">
        <f t="shared" si="9"/>
        <v>8.4851999999955297E-2</v>
      </c>
      <c r="O38" s="1">
        <f t="shared" ca="1" si="4"/>
        <v>9.3027548581870637E-2</v>
      </c>
      <c r="P38" s="19">
        <f t="shared" si="5"/>
        <v>8.5296864863549884E-2</v>
      </c>
      <c r="Q38" s="79">
        <f t="shared" si="6"/>
        <v>39965.040000000001</v>
      </c>
      <c r="R38" s="1">
        <f t="shared" si="7"/>
        <v>1.9790474686103128E-7</v>
      </c>
      <c r="S38" s="23">
        <v>1</v>
      </c>
      <c r="T38" s="1">
        <f t="shared" si="8"/>
        <v>1.9790474686103128E-7</v>
      </c>
    </row>
    <row r="39" spans="1:24" x14ac:dyDescent="0.2">
      <c r="A39" s="45" t="s">
        <v>56</v>
      </c>
      <c r="B39" s="46" t="s">
        <v>50</v>
      </c>
      <c r="C39" s="47">
        <v>54994.047899999998</v>
      </c>
      <c r="D39" s="10"/>
      <c r="E39" s="48">
        <f t="shared" si="1"/>
        <v>6766.2250596862059</v>
      </c>
      <c r="F39" s="1">
        <f t="shared" si="2"/>
        <v>6766</v>
      </c>
      <c r="G39" s="1">
        <f t="shared" si="3"/>
        <v>8.4463999992294703E-2</v>
      </c>
      <c r="K39" s="1">
        <f t="shared" si="9"/>
        <v>8.4463999992294703E-2</v>
      </c>
      <c r="O39" s="1">
        <f t="shared" ca="1" si="4"/>
        <v>9.3209253543638737E-2</v>
      </c>
      <c r="P39" s="19">
        <f t="shared" si="5"/>
        <v>8.5587689569147821E-2</v>
      </c>
      <c r="Q39" s="79">
        <f t="shared" si="6"/>
        <v>39975.547899999998</v>
      </c>
      <c r="R39" s="1">
        <f t="shared" si="7"/>
        <v>1.2626782651283393E-6</v>
      </c>
      <c r="S39" s="23">
        <v>1</v>
      </c>
      <c r="T39" s="1">
        <f t="shared" si="8"/>
        <v>1.2626782651283393E-6</v>
      </c>
    </row>
    <row r="40" spans="1:24" x14ac:dyDescent="0.2">
      <c r="A40" s="45" t="s">
        <v>57</v>
      </c>
      <c r="B40" s="46" t="s">
        <v>52</v>
      </c>
      <c r="C40" s="47">
        <v>55041.520799999998</v>
      </c>
      <c r="D40" s="10"/>
      <c r="E40" s="48">
        <f t="shared" si="1"/>
        <v>6892.7196133185407</v>
      </c>
      <c r="F40" s="1">
        <f t="shared" si="2"/>
        <v>6892.5</v>
      </c>
      <c r="G40" s="1">
        <f t="shared" si="3"/>
        <v>8.2419999991543591E-2</v>
      </c>
      <c r="K40" s="1">
        <f t="shared" si="9"/>
        <v>8.2419999991543591E-2</v>
      </c>
      <c r="O40" s="1">
        <f t="shared" ca="1" si="4"/>
        <v>9.403017060305538E-2</v>
      </c>
      <c r="P40" s="19">
        <f t="shared" si="5"/>
        <v>8.6893525525127163E-2</v>
      </c>
      <c r="Q40" s="79">
        <f t="shared" si="6"/>
        <v>40023.020799999998</v>
      </c>
      <c r="R40" s="1">
        <f t="shared" si="7"/>
        <v>2.0012430699624183E-5</v>
      </c>
      <c r="S40" s="23">
        <v>1</v>
      </c>
      <c r="T40" s="1">
        <f t="shared" si="8"/>
        <v>2.0012430699624183E-5</v>
      </c>
    </row>
    <row r="41" spans="1:24" x14ac:dyDescent="0.2">
      <c r="A41" s="45" t="s">
        <v>58</v>
      </c>
      <c r="B41" s="46" t="s">
        <v>52</v>
      </c>
      <c r="C41" s="47">
        <v>55309.493999999999</v>
      </c>
      <c r="D41" s="10"/>
      <c r="E41" s="48">
        <f t="shared" si="1"/>
        <v>7606.7512043826619</v>
      </c>
      <c r="F41" s="49">
        <f>ROUND(2*E41,0)/2-0.5</f>
        <v>7606.5</v>
      </c>
      <c r="G41" s="1">
        <f t="shared" si="3"/>
        <v>9.4275999996170867E-2</v>
      </c>
      <c r="K41" s="1">
        <f t="shared" si="9"/>
        <v>9.4275999996170867E-2</v>
      </c>
      <c r="O41" s="1">
        <f t="shared" ca="1" si="4"/>
        <v>9.8663647128142129E-2</v>
      </c>
      <c r="P41" s="19">
        <f t="shared" si="5"/>
        <v>9.4016266345574612E-2</v>
      </c>
      <c r="Q41" s="79">
        <f t="shared" si="6"/>
        <v>40290.993999999999</v>
      </c>
      <c r="R41" s="1">
        <f t="shared" si="7"/>
        <v>6.7461569252057745E-8</v>
      </c>
      <c r="S41" s="23">
        <v>1</v>
      </c>
      <c r="T41" s="1">
        <f t="shared" si="8"/>
        <v>6.7461569252057745E-8</v>
      </c>
    </row>
    <row r="42" spans="1:24" x14ac:dyDescent="0.2">
      <c r="A42" s="45" t="s">
        <v>59</v>
      </c>
      <c r="B42" s="46" t="s">
        <v>52</v>
      </c>
      <c r="C42" s="47">
        <v>55356.405299999999</v>
      </c>
      <c r="D42" s="10"/>
      <c r="E42" s="48">
        <f t="shared" si="1"/>
        <v>7731.7493391882545</v>
      </c>
      <c r="F42" s="1">
        <f>ROUND(2*E42,0)/2</f>
        <v>7731.5</v>
      </c>
      <c r="G42" s="1">
        <f t="shared" si="3"/>
        <v>9.3575999992026482E-2</v>
      </c>
      <c r="K42" s="1">
        <f t="shared" si="9"/>
        <v>9.3575999992026482E-2</v>
      </c>
      <c r="O42" s="1">
        <f t="shared" ca="1" si="4"/>
        <v>9.9474829993178332E-2</v>
      </c>
      <c r="P42" s="19">
        <f t="shared" si="5"/>
        <v>9.5219948886568401E-2</v>
      </c>
      <c r="Q42" s="79">
        <f t="shared" si="6"/>
        <v>40337.905299999999</v>
      </c>
      <c r="R42" s="1">
        <f t="shared" si="7"/>
        <v>2.7025679678655975E-6</v>
      </c>
      <c r="S42" s="23">
        <v>1</v>
      </c>
      <c r="T42" s="1">
        <f t="shared" si="8"/>
        <v>2.7025679678655975E-6</v>
      </c>
    </row>
    <row r="43" spans="1:24" x14ac:dyDescent="0.2">
      <c r="A43" s="50" t="s">
        <v>60</v>
      </c>
      <c r="B43" s="50"/>
      <c r="C43" s="51">
        <v>55385.494200000001</v>
      </c>
      <c r="D43" s="51">
        <v>8.6E-3</v>
      </c>
      <c r="E43" s="48">
        <f t="shared" si="1"/>
        <v>7809.258558577756</v>
      </c>
      <c r="F43" s="49">
        <f t="shared" ref="F43:F56" si="10">ROUND(2*E43,0)/2-0.5</f>
        <v>7809</v>
      </c>
      <c r="G43" s="1">
        <f t="shared" si="3"/>
        <v>9.7035999999206979E-2</v>
      </c>
      <c r="J43" s="1">
        <f>+G43</f>
        <v>9.7035999999206979E-2</v>
      </c>
      <c r="O43" s="1">
        <f t="shared" ca="1" si="4"/>
        <v>9.9977763369500761E-2</v>
      </c>
      <c r="P43" s="19">
        <f t="shared" si="5"/>
        <v>9.5959753159140085E-2</v>
      </c>
      <c r="Q43" s="79">
        <f t="shared" si="6"/>
        <v>40366.994200000001</v>
      </c>
      <c r="R43" s="1">
        <f t="shared" si="7"/>
        <v>1.1583072607539744E-6</v>
      </c>
      <c r="S43" s="23">
        <v>1</v>
      </c>
      <c r="T43" s="1">
        <f t="shared" si="8"/>
        <v>1.1583072607539744E-6</v>
      </c>
    </row>
    <row r="44" spans="1:24" x14ac:dyDescent="0.2">
      <c r="A44" s="45" t="s">
        <v>61</v>
      </c>
      <c r="B44" s="46" t="s">
        <v>50</v>
      </c>
      <c r="C44" s="47">
        <v>55651.585200000001</v>
      </c>
      <c r="D44" s="10"/>
      <c r="E44" s="48">
        <f t="shared" si="1"/>
        <v>8518.2749083390117</v>
      </c>
      <c r="F44" s="49">
        <f t="shared" si="10"/>
        <v>8518</v>
      </c>
      <c r="G44" s="1">
        <f t="shared" si="3"/>
        <v>0.1031719999955385</v>
      </c>
      <c r="K44" s="1">
        <f t="shared" ref="K44:K55" si="11">+G44</f>
        <v>0.1031719999955385</v>
      </c>
      <c r="O44" s="1">
        <f t="shared" ca="1" si="4"/>
        <v>0.10457879257998606</v>
      </c>
      <c r="P44" s="19">
        <f t="shared" si="5"/>
        <v>0.10249756139802527</v>
      </c>
      <c r="Q44" s="79">
        <f t="shared" si="6"/>
        <v>40633.085200000001</v>
      </c>
      <c r="R44" s="1">
        <f t="shared" si="7"/>
        <v>4.548674218156164E-7</v>
      </c>
      <c r="S44" s="23">
        <v>1</v>
      </c>
      <c r="T44" s="1">
        <f t="shared" si="8"/>
        <v>4.548674218156164E-7</v>
      </c>
    </row>
    <row r="45" spans="1:24" x14ac:dyDescent="0.2">
      <c r="A45" s="45" t="s">
        <v>61</v>
      </c>
      <c r="B45" s="46" t="s">
        <v>50</v>
      </c>
      <c r="C45" s="47">
        <v>55686.489000000001</v>
      </c>
      <c r="D45" s="10"/>
      <c r="E45" s="48">
        <f t="shared" si="1"/>
        <v>8611.2782976637045</v>
      </c>
      <c r="F45" s="49">
        <f t="shared" si="10"/>
        <v>8611</v>
      </c>
      <c r="G45" s="1">
        <f t="shared" si="3"/>
        <v>0.10444399999687448</v>
      </c>
      <c r="K45" s="1">
        <f t="shared" si="11"/>
        <v>0.10444399999687448</v>
      </c>
      <c r="O45" s="1">
        <f t="shared" ca="1" si="4"/>
        <v>0.10518231263157299</v>
      </c>
      <c r="P45" s="19">
        <f t="shared" si="5"/>
        <v>0.10332433845300226</v>
      </c>
      <c r="Q45" s="79">
        <f t="shared" si="6"/>
        <v>40667.989000000001</v>
      </c>
      <c r="R45" s="1">
        <f t="shared" si="7"/>
        <v>1.253641972826321E-6</v>
      </c>
      <c r="S45" s="23">
        <v>1</v>
      </c>
      <c r="T45" s="1">
        <f t="shared" si="8"/>
        <v>1.253641972826321E-6</v>
      </c>
    </row>
    <row r="46" spans="1:24" x14ac:dyDescent="0.2">
      <c r="A46" s="38" t="s">
        <v>62</v>
      </c>
      <c r="B46" s="39" t="s">
        <v>50</v>
      </c>
      <c r="C46" s="38">
        <v>55727.3963</v>
      </c>
      <c r="D46" s="38">
        <v>2.0000000000000001E-4</v>
      </c>
      <c r="E46" s="48">
        <f t="shared" si="1"/>
        <v>8720.278393587987</v>
      </c>
      <c r="F46" s="49">
        <f t="shared" si="10"/>
        <v>8720</v>
      </c>
      <c r="G46" s="1">
        <f t="shared" si="3"/>
        <v>0.10447999999450985</v>
      </c>
      <c r="K46" s="1">
        <f t="shared" si="11"/>
        <v>0.10447999999450985</v>
      </c>
      <c r="O46" s="1">
        <f t="shared" ca="1" si="4"/>
        <v>0.10588966408988457</v>
      </c>
      <c r="P46" s="19">
        <f t="shared" si="5"/>
        <v>0.10428426695779899</v>
      </c>
      <c r="Q46" s="79">
        <f t="shared" si="6"/>
        <v>40708.8963</v>
      </c>
      <c r="R46" s="1">
        <f t="shared" si="7"/>
        <v>3.8311421660054894E-8</v>
      </c>
      <c r="S46" s="23">
        <v>1</v>
      </c>
      <c r="T46" s="1">
        <f t="shared" si="8"/>
        <v>3.8311421660054894E-8</v>
      </c>
    </row>
    <row r="47" spans="1:24" x14ac:dyDescent="0.2">
      <c r="A47" s="38" t="s">
        <v>62</v>
      </c>
      <c r="B47" s="39" t="s">
        <v>52</v>
      </c>
      <c r="C47" s="38">
        <v>55729.463199999998</v>
      </c>
      <c r="D47" s="38">
        <v>2.0000000000000001E-4</v>
      </c>
      <c r="E47" s="48">
        <f t="shared" si="1"/>
        <v>8725.7857797578308</v>
      </c>
      <c r="F47" s="49">
        <f t="shared" si="10"/>
        <v>8725.5</v>
      </c>
      <c r="G47" s="1">
        <f t="shared" si="3"/>
        <v>0.10725199999433244</v>
      </c>
      <c r="K47" s="1">
        <f t="shared" si="11"/>
        <v>0.10725199999433244</v>
      </c>
      <c r="O47" s="1">
        <f t="shared" ca="1" si="4"/>
        <v>0.10592535613594614</v>
      </c>
      <c r="P47" s="19">
        <f t="shared" si="5"/>
        <v>0.1043324437354349</v>
      </c>
      <c r="Q47" s="79">
        <f t="shared" si="6"/>
        <v>40710.963199999998</v>
      </c>
      <c r="R47" s="1">
        <f t="shared" si="7"/>
        <v>8.5238087488677543E-6</v>
      </c>
      <c r="S47" s="23">
        <v>1</v>
      </c>
      <c r="T47" s="1">
        <f t="shared" si="8"/>
        <v>8.5238087488677543E-6</v>
      </c>
    </row>
    <row r="48" spans="1:24" x14ac:dyDescent="0.2">
      <c r="A48" s="45" t="s">
        <v>61</v>
      </c>
      <c r="B48" s="46" t="s">
        <v>50</v>
      </c>
      <c r="C48" s="47">
        <v>56073.429300000003</v>
      </c>
      <c r="D48" s="10"/>
      <c r="E48" s="48">
        <f t="shared" si="1"/>
        <v>9642.3052737039561</v>
      </c>
      <c r="F48" s="49">
        <f t="shared" si="10"/>
        <v>9642</v>
      </c>
      <c r="G48" s="1">
        <f t="shared" si="3"/>
        <v>0.11456799999723444</v>
      </c>
      <c r="K48" s="1">
        <f t="shared" si="11"/>
        <v>0.11456799999723444</v>
      </c>
      <c r="O48" s="1">
        <f t="shared" ca="1" si="4"/>
        <v>0.11187294890239154</v>
      </c>
      <c r="P48" s="19">
        <f t="shared" si="5"/>
        <v>0.11201159725401166</v>
      </c>
      <c r="Q48" s="79">
        <f t="shared" si="6"/>
        <v>41054.929300000003</v>
      </c>
      <c r="R48" s="1">
        <f t="shared" si="7"/>
        <v>6.5351949855569255E-6</v>
      </c>
      <c r="S48" s="23">
        <v>1</v>
      </c>
      <c r="T48" s="1">
        <f t="shared" si="8"/>
        <v>6.5351949855569255E-6</v>
      </c>
    </row>
    <row r="49" spans="1:20" x14ac:dyDescent="0.2">
      <c r="A49" s="52" t="s">
        <v>63</v>
      </c>
      <c r="B49" s="53" t="s">
        <v>52</v>
      </c>
      <c r="C49" s="52">
        <v>56078.868699999999</v>
      </c>
      <c r="D49" s="52">
        <v>2.9999999999999997E-4</v>
      </c>
      <c r="E49" s="48">
        <f t="shared" si="1"/>
        <v>9656.798900068201</v>
      </c>
      <c r="F49" s="49">
        <f t="shared" si="10"/>
        <v>9656.5</v>
      </c>
      <c r="G49" s="1">
        <f t="shared" si="3"/>
        <v>0.1121759999950882</v>
      </c>
      <c r="K49" s="1">
        <f t="shared" si="11"/>
        <v>0.1121759999950882</v>
      </c>
      <c r="O49" s="1">
        <f t="shared" ca="1" si="4"/>
        <v>0.11196704611473574</v>
      </c>
      <c r="P49" s="19">
        <f t="shared" si="5"/>
        <v>0.11212751654675189</v>
      </c>
      <c r="Q49" s="79">
        <f t="shared" si="6"/>
        <v>41060.368699999999</v>
      </c>
      <c r="R49" s="1">
        <f t="shared" si="7"/>
        <v>2.3506447625800733E-9</v>
      </c>
      <c r="S49" s="23">
        <v>1</v>
      </c>
      <c r="T49" s="1">
        <f t="shared" si="8"/>
        <v>2.3506447625800733E-9</v>
      </c>
    </row>
    <row r="50" spans="1:20" x14ac:dyDescent="0.2">
      <c r="A50" s="42" t="s">
        <v>64</v>
      </c>
      <c r="B50" s="41" t="s">
        <v>52</v>
      </c>
      <c r="C50" s="40">
        <v>56081.497100000001</v>
      </c>
      <c r="D50" s="40">
        <v>2.9999999999999997E-4</v>
      </c>
      <c r="E50" s="48">
        <f t="shared" si="1"/>
        <v>9663.8024386084508</v>
      </c>
      <c r="F50" s="49">
        <f t="shared" si="10"/>
        <v>9663.5</v>
      </c>
      <c r="G50" s="1">
        <f t="shared" si="3"/>
        <v>0.11350400000083027</v>
      </c>
      <c r="K50" s="1">
        <f t="shared" si="11"/>
        <v>0.11350400000083027</v>
      </c>
      <c r="O50" s="1">
        <f t="shared" ca="1" si="4"/>
        <v>0.11201247235517776</v>
      </c>
      <c r="P50" s="19">
        <f t="shared" si="5"/>
        <v>0.11218341545321249</v>
      </c>
      <c r="Q50" s="79">
        <f t="shared" si="6"/>
        <v>41062.997100000001</v>
      </c>
      <c r="R50" s="1">
        <f t="shared" si="7"/>
        <v>1.7439435474068674E-6</v>
      </c>
      <c r="S50" s="23">
        <v>1</v>
      </c>
      <c r="T50" s="1">
        <f t="shared" si="8"/>
        <v>1.7439435474068674E-6</v>
      </c>
    </row>
    <row r="51" spans="1:20" x14ac:dyDescent="0.2">
      <c r="A51" s="42" t="s">
        <v>64</v>
      </c>
      <c r="B51" s="41" t="s">
        <v>52</v>
      </c>
      <c r="C51" s="40">
        <v>56084.499000000003</v>
      </c>
      <c r="D51" s="40">
        <v>2.0000000000000001E-4</v>
      </c>
      <c r="E51" s="48">
        <f t="shared" si="1"/>
        <v>9671.8011915927691</v>
      </c>
      <c r="F51" s="49">
        <f t="shared" si="10"/>
        <v>9671.5</v>
      </c>
      <c r="G51" s="1">
        <f t="shared" si="3"/>
        <v>0.11303600000246661</v>
      </c>
      <c r="K51" s="1">
        <f t="shared" si="11"/>
        <v>0.11303600000246661</v>
      </c>
      <c r="O51" s="1">
        <f t="shared" ca="1" si="4"/>
        <v>0.11206438805854008</v>
      </c>
      <c r="P51" s="19">
        <f t="shared" si="5"/>
        <v>0.11224725037774107</v>
      </c>
      <c r="Q51" s="79">
        <f t="shared" si="6"/>
        <v>41065.999000000003</v>
      </c>
      <c r="R51" s="1">
        <f t="shared" si="7"/>
        <v>6.2212597050468088E-7</v>
      </c>
      <c r="S51" s="23">
        <v>1</v>
      </c>
      <c r="T51" s="1">
        <f t="shared" si="8"/>
        <v>6.2212597050468088E-7</v>
      </c>
    </row>
    <row r="52" spans="1:20" x14ac:dyDescent="0.2">
      <c r="A52" s="40" t="s">
        <v>65</v>
      </c>
      <c r="B52" s="41" t="s">
        <v>50</v>
      </c>
      <c r="C52" s="40">
        <v>56815.399100000002</v>
      </c>
      <c r="D52" s="40">
        <v>1.6999999999999999E-3</v>
      </c>
      <c r="E52" s="48">
        <f t="shared" si="1"/>
        <v>11619.330874829466</v>
      </c>
      <c r="F52" s="49">
        <f t="shared" si="10"/>
        <v>11619</v>
      </c>
      <c r="G52" s="1">
        <f t="shared" si="3"/>
        <v>0.12417599999753293</v>
      </c>
      <c r="K52" s="1">
        <f t="shared" si="11"/>
        <v>0.12417599999753293</v>
      </c>
      <c r="O52" s="1">
        <f t="shared" ca="1" si="4"/>
        <v>0.12470261709580401</v>
      </c>
      <c r="P52" s="19">
        <f t="shared" si="5"/>
        <v>0.12621485673720159</v>
      </c>
      <c r="Q52" s="79">
        <f t="shared" si="6"/>
        <v>41796.899100000002</v>
      </c>
      <c r="R52" s="1">
        <f t="shared" si="7"/>
        <v>4.1569368048923391E-6</v>
      </c>
      <c r="S52" s="23">
        <v>1</v>
      </c>
      <c r="T52" s="1">
        <f t="shared" si="8"/>
        <v>4.1569368048923391E-6</v>
      </c>
    </row>
    <row r="53" spans="1:20" x14ac:dyDescent="0.2">
      <c r="A53" s="52" t="s">
        <v>66</v>
      </c>
      <c r="B53" s="53"/>
      <c r="C53" s="52">
        <v>57207.398099999999</v>
      </c>
      <c r="D53" s="52">
        <v>8.0000000000000004E-4</v>
      </c>
      <c r="E53" s="48">
        <f t="shared" si="1"/>
        <v>12663.837077933138</v>
      </c>
      <c r="F53" s="49">
        <f t="shared" si="10"/>
        <v>12663.5</v>
      </c>
      <c r="G53" s="1">
        <f t="shared" si="3"/>
        <v>0.12650399999256479</v>
      </c>
      <c r="J53" s="1">
        <f>+G53</f>
        <v>0.12650399999256479</v>
      </c>
      <c r="O53" s="1">
        <f t="shared" ca="1" si="4"/>
        <v>0.13148086111604645</v>
      </c>
      <c r="P53" s="19">
        <f t="shared" si="5"/>
        <v>0.13241592031188446</v>
      </c>
      <c r="Q53" s="79">
        <f t="shared" si="6"/>
        <v>42188.898099999999</v>
      </c>
      <c r="R53" s="1">
        <f t="shared" si="7"/>
        <v>3.495080186198478E-5</v>
      </c>
      <c r="S53" s="23">
        <v>1</v>
      </c>
      <c r="T53" s="1">
        <f t="shared" si="8"/>
        <v>3.495080186198478E-5</v>
      </c>
    </row>
    <row r="54" spans="1:20" x14ac:dyDescent="0.2">
      <c r="A54" s="54" t="s">
        <v>67</v>
      </c>
      <c r="B54" s="55" t="s">
        <v>50</v>
      </c>
      <c r="C54" s="56">
        <v>57546.491000000002</v>
      </c>
      <c r="D54" s="56">
        <v>1.1000000000000001E-3</v>
      </c>
      <c r="E54" s="48">
        <f t="shared" ref="E54:E59" si="12">+(C54-C$7)/C$8</f>
        <v>13567.371621333556</v>
      </c>
      <c r="F54" s="49">
        <f t="shared" si="10"/>
        <v>13567</v>
      </c>
      <c r="G54" s="1">
        <f t="shared" ref="G54:G59" si="13">+C54-(C$7+F54*C$8)</f>
        <v>0.13946800000121584</v>
      </c>
      <c r="J54" s="1">
        <f>+G54</f>
        <v>0.13946800000121584</v>
      </c>
      <c r="O54" s="1">
        <f t="shared" ref="O54:O59" ca="1" si="14">+C$11+C$12*$F54</f>
        <v>0.13734409086452809</v>
      </c>
      <c r="P54" s="19">
        <f t="shared" si="5"/>
        <v>0.13705329076432737</v>
      </c>
      <c r="Q54" s="79">
        <f t="shared" ref="Q54:Q59" si="15">+C54-15018.5</f>
        <v>42527.991000000002</v>
      </c>
      <c r="R54" s="1">
        <f t="shared" si="7"/>
        <v>5.830820698714488E-6</v>
      </c>
      <c r="S54" s="23">
        <v>1</v>
      </c>
      <c r="T54" s="1">
        <f t="shared" si="8"/>
        <v>5.830820698714488E-6</v>
      </c>
    </row>
    <row r="55" spans="1:20" x14ac:dyDescent="0.2">
      <c r="A55" s="57" t="s">
        <v>68</v>
      </c>
      <c r="B55" s="58" t="s">
        <v>50</v>
      </c>
      <c r="C55" s="57">
        <v>57164.056799999998</v>
      </c>
      <c r="D55" s="57" t="s">
        <v>69</v>
      </c>
      <c r="E55" s="48">
        <f t="shared" si="12"/>
        <v>12548.351434600942</v>
      </c>
      <c r="F55" s="49">
        <f t="shared" si="10"/>
        <v>12548</v>
      </c>
      <c r="G55" s="1">
        <f t="shared" si="13"/>
        <v>0.13189199999760604</v>
      </c>
      <c r="K55" s="1">
        <f t="shared" si="11"/>
        <v>0.13189199999760604</v>
      </c>
      <c r="O55" s="1">
        <f t="shared" ca="1" si="14"/>
        <v>0.13073132814875302</v>
      </c>
      <c r="P55" s="19">
        <f t="shared" si="5"/>
        <v>0.13177450831899479</v>
      </c>
      <c r="Q55" s="79">
        <f t="shared" si="15"/>
        <v>42145.556799999998</v>
      </c>
      <c r="R55" s="1">
        <f t="shared" si="7"/>
        <v>1.3804294542888761E-8</v>
      </c>
      <c r="S55" s="23">
        <v>1</v>
      </c>
      <c r="T55" s="1">
        <f t="shared" si="8"/>
        <v>1.3804294542888761E-8</v>
      </c>
    </row>
    <row r="56" spans="1:20" x14ac:dyDescent="0.2">
      <c r="A56" s="59" t="s">
        <v>70</v>
      </c>
      <c r="B56" s="60" t="s">
        <v>50</v>
      </c>
      <c r="C56" s="61">
        <v>57919.538699999997</v>
      </c>
      <c r="D56" s="61">
        <v>1.5E-3</v>
      </c>
      <c r="E56" s="48">
        <f t="shared" si="12"/>
        <v>14561.380883356054</v>
      </c>
      <c r="F56" s="49">
        <f t="shared" si="10"/>
        <v>14561</v>
      </c>
      <c r="G56" s="1">
        <f t="shared" si="13"/>
        <v>0.14294399999198504</v>
      </c>
      <c r="K56" s="1">
        <f>+G56</f>
        <v>0.14294399999198504</v>
      </c>
      <c r="O56" s="1">
        <f t="shared" ca="1" si="14"/>
        <v>0.1437946170072959</v>
      </c>
      <c r="P56" s="19">
        <f>+D$11+D$12*F56+D$13*F56^2</f>
        <v>0.141376517054248</v>
      </c>
      <c r="Q56" s="79">
        <f t="shared" si="15"/>
        <v>42901.038699999997</v>
      </c>
      <c r="R56" s="1">
        <f>+(P56-G56)^2</f>
        <v>2.457002760096728E-6</v>
      </c>
      <c r="S56" s="23">
        <v>1</v>
      </c>
      <c r="T56" s="1">
        <f>+S56*R56</f>
        <v>2.457002760096728E-6</v>
      </c>
    </row>
    <row r="57" spans="1:20" x14ac:dyDescent="0.2">
      <c r="A57" s="62" t="s">
        <v>71</v>
      </c>
      <c r="B57" s="63" t="s">
        <v>50</v>
      </c>
      <c r="C57" s="64">
        <v>59057.455800000003</v>
      </c>
      <c r="D57" s="64">
        <v>8.9999999999999998E-4</v>
      </c>
      <c r="E57" s="48">
        <f t="shared" si="12"/>
        <v>17593.433183407229</v>
      </c>
      <c r="F57" s="49">
        <f>ROUND(2*E57,0)/2-0.5</f>
        <v>17593</v>
      </c>
      <c r="G57" s="1">
        <f t="shared" si="13"/>
        <v>0.16257200000109151</v>
      </c>
      <c r="K57" s="1">
        <f>+G57</f>
        <v>0.16257200000109151</v>
      </c>
      <c r="O57" s="1">
        <f t="shared" ca="1" si="14"/>
        <v>0.16347066858161388</v>
      </c>
      <c r="P57" s="19">
        <f>+D$11+D$12*F57+D$13*F57^2</f>
        <v>0.1495242751093912</v>
      </c>
      <c r="Q57" s="79">
        <f t="shared" si="15"/>
        <v>44038.955800000003</v>
      </c>
      <c r="R57" s="1">
        <f>+(P57-G57)^2</f>
        <v>1.702431248494958E-4</v>
      </c>
      <c r="S57" s="23">
        <v>1</v>
      </c>
      <c r="T57" s="1">
        <f>+S57*R57</f>
        <v>1.702431248494958E-4</v>
      </c>
    </row>
    <row r="58" spans="1:20" ht="12" customHeight="1" x14ac:dyDescent="0.2">
      <c r="A58" s="62" t="s">
        <v>72</v>
      </c>
      <c r="B58" s="63" t="s">
        <v>50</v>
      </c>
      <c r="C58" s="64">
        <v>58948.241099999999</v>
      </c>
      <c r="D58" s="64" t="s">
        <v>73</v>
      </c>
      <c r="E58" s="48">
        <f t="shared" si="12"/>
        <v>17302.423686903127</v>
      </c>
      <c r="F58" s="49">
        <f>ROUND(2*E58,0)/2-0.5</f>
        <v>17302</v>
      </c>
      <c r="G58" s="1">
        <f t="shared" si="13"/>
        <v>0.15900799999508308</v>
      </c>
      <c r="K58" s="1">
        <f>+G58</f>
        <v>0.15900799999508308</v>
      </c>
      <c r="O58" s="1">
        <f t="shared" ca="1" si="14"/>
        <v>0.16158223487180962</v>
      </c>
      <c r="P58" s="19">
        <f>+D$11+D$12*F58+D$13*F58^2</f>
        <v>0.14907157246871966</v>
      </c>
      <c r="Q58" s="79">
        <f t="shared" si="15"/>
        <v>43929.741099999999</v>
      </c>
      <c r="R58" s="1">
        <f>+(P58-G58)^2</f>
        <v>9.8732591986672725E-5</v>
      </c>
      <c r="S58" s="23">
        <v>1</v>
      </c>
      <c r="T58" s="1">
        <f>+S58*R58</f>
        <v>9.8732591986672725E-5</v>
      </c>
    </row>
    <row r="59" spans="1:20" ht="12" customHeight="1" x14ac:dyDescent="0.2">
      <c r="A59" s="62" t="s">
        <v>72</v>
      </c>
      <c r="B59" s="63" t="s">
        <v>50</v>
      </c>
      <c r="C59" s="64">
        <v>58948.241199999997</v>
      </c>
      <c r="D59" s="64" t="s">
        <v>74</v>
      </c>
      <c r="E59" s="48">
        <f t="shared" si="12"/>
        <v>17302.423953359463</v>
      </c>
      <c r="F59" s="49">
        <f>ROUND(2*E59,0)/2-0.5</f>
        <v>17302</v>
      </c>
      <c r="G59" s="1">
        <f t="shared" si="13"/>
        <v>0.15910799999255687</v>
      </c>
      <c r="K59" s="1">
        <f>+G59</f>
        <v>0.15910799999255687</v>
      </c>
      <c r="O59" s="1">
        <f t="shared" ca="1" si="14"/>
        <v>0.16158223487180962</v>
      </c>
      <c r="P59" s="19">
        <f>+D$11+D$12*F59+D$13*F59^2</f>
        <v>0.14907157246871966</v>
      </c>
      <c r="Q59" s="79">
        <f t="shared" si="15"/>
        <v>43929.741199999997</v>
      </c>
      <c r="R59" s="1">
        <f>+(P59-G59)^2</f>
        <v>1.0072987744123712E-4</v>
      </c>
      <c r="S59" s="23">
        <v>1</v>
      </c>
      <c r="T59" s="1">
        <f>+S59*R59</f>
        <v>1.0072987744123712E-4</v>
      </c>
    </row>
    <row r="60" spans="1:20" ht="12" customHeight="1" x14ac:dyDescent="0.2">
      <c r="A60" s="77" t="s">
        <v>165</v>
      </c>
      <c r="B60" s="78" t="s">
        <v>50</v>
      </c>
      <c r="C60" s="80">
        <v>59057.455800000003</v>
      </c>
      <c r="D60" s="81">
        <v>8.9999999999999998E-4</v>
      </c>
      <c r="E60" s="48">
        <f t="shared" ref="E60:E66" si="16">+(C60-C$7)/C$8</f>
        <v>17593.433183407229</v>
      </c>
      <c r="F60" s="49">
        <f t="shared" ref="F60:F66" si="17">ROUND(2*E60,0)/2-0.5</f>
        <v>17593</v>
      </c>
      <c r="G60" s="1">
        <f t="shared" ref="G60:G66" si="18">+C60-(C$7+F60*C$8)</f>
        <v>0.16257200000109151</v>
      </c>
      <c r="K60" s="1">
        <f t="shared" ref="K60:K66" si="19">+G60</f>
        <v>0.16257200000109151</v>
      </c>
      <c r="O60" s="1">
        <f t="shared" ref="O60:O66" ca="1" si="20">+C$11+C$12*$F60</f>
        <v>0.16347066858161388</v>
      </c>
      <c r="P60" s="19">
        <f t="shared" ref="P60:P66" si="21">+D$11+D$12*F60+D$13*F60^2</f>
        <v>0.1495242751093912</v>
      </c>
      <c r="Q60" s="79">
        <f t="shared" ref="Q60:Q66" si="22">+C60-15018.5</f>
        <v>44038.955800000003</v>
      </c>
      <c r="R60" s="1">
        <f t="shared" ref="R60:R66" si="23">+(P60-G60)^2</f>
        <v>1.702431248494958E-4</v>
      </c>
      <c r="S60" s="23">
        <v>1</v>
      </c>
      <c r="T60" s="1">
        <f t="shared" ref="T60:T66" si="24">+S60*R60</f>
        <v>1.702431248494958E-4</v>
      </c>
    </row>
    <row r="61" spans="1:20" ht="12" customHeight="1" x14ac:dyDescent="0.2">
      <c r="A61" s="77" t="s">
        <v>166</v>
      </c>
      <c r="B61" s="78" t="s">
        <v>50</v>
      </c>
      <c r="C61" s="80">
        <v>59279.643999999855</v>
      </c>
      <c r="D61" s="81">
        <v>1E-3</v>
      </c>
      <c r="E61" s="48">
        <f t="shared" si="16"/>
        <v>18185.467737465497</v>
      </c>
      <c r="F61" s="49">
        <f t="shared" si="17"/>
        <v>18185</v>
      </c>
      <c r="G61" s="1">
        <f t="shared" si="18"/>
        <v>0.17553999985102564</v>
      </c>
      <c r="K61" s="1">
        <f t="shared" si="19"/>
        <v>0.17553999985102564</v>
      </c>
      <c r="O61" s="1">
        <f t="shared" ca="1" si="20"/>
        <v>0.16731243063042531</v>
      </c>
      <c r="P61" s="19">
        <f t="shared" si="21"/>
        <v>0.15022943434652142</v>
      </c>
      <c r="Q61" s="79">
        <f t="shared" si="22"/>
        <v>44261.143999999855</v>
      </c>
      <c r="R61" s="1">
        <f t="shared" si="23"/>
        <v>6.4062472615779916E-4</v>
      </c>
      <c r="S61" s="23">
        <v>1</v>
      </c>
      <c r="T61" s="1">
        <f t="shared" si="24"/>
        <v>6.4062472615779916E-4</v>
      </c>
    </row>
    <row r="62" spans="1:20" ht="12" customHeight="1" x14ac:dyDescent="0.2">
      <c r="A62" s="77" t="s">
        <v>167</v>
      </c>
      <c r="B62" s="78" t="s">
        <v>50</v>
      </c>
      <c r="C62" s="80">
        <v>59325.23359999992</v>
      </c>
      <c r="D62" s="81" t="s">
        <v>73</v>
      </c>
      <c r="E62" s="48">
        <f t="shared" si="16"/>
        <v>18306.944118775355</v>
      </c>
      <c r="F62" s="49">
        <f t="shared" si="17"/>
        <v>18306.5</v>
      </c>
      <c r="G62" s="1">
        <f t="shared" si="18"/>
        <v>0.16667599991342286</v>
      </c>
      <c r="K62" s="1">
        <f t="shared" si="19"/>
        <v>0.16667599991342286</v>
      </c>
      <c r="O62" s="1">
        <f t="shared" ca="1" si="20"/>
        <v>0.1681009003752405</v>
      </c>
      <c r="P62" s="19">
        <f t="shared" si="21"/>
        <v>0.1503383701274382</v>
      </c>
      <c r="Q62" s="79">
        <f t="shared" si="22"/>
        <v>44306.73359999992</v>
      </c>
      <c r="R62" s="1">
        <f t="shared" si="23"/>
        <v>2.6691814702389311E-4</v>
      </c>
      <c r="S62" s="23">
        <v>1</v>
      </c>
      <c r="T62" s="1">
        <f t="shared" si="24"/>
        <v>2.6691814702389311E-4</v>
      </c>
    </row>
    <row r="63" spans="1:20" ht="12" customHeight="1" x14ac:dyDescent="0.2">
      <c r="A63" s="77" t="s">
        <v>167</v>
      </c>
      <c r="B63" s="78" t="s">
        <v>50</v>
      </c>
      <c r="C63" s="80">
        <v>59325.234300000127</v>
      </c>
      <c r="D63" s="81" t="s">
        <v>69</v>
      </c>
      <c r="E63" s="48">
        <f t="shared" si="16"/>
        <v>18306.945983970316</v>
      </c>
      <c r="F63" s="49">
        <f t="shared" si="17"/>
        <v>18306.5</v>
      </c>
      <c r="G63" s="1">
        <f t="shared" si="18"/>
        <v>0.16737600012129406</v>
      </c>
      <c r="K63" s="1">
        <f t="shared" si="19"/>
        <v>0.16737600012129406</v>
      </c>
      <c r="O63" s="1">
        <f t="shared" ca="1" si="20"/>
        <v>0.1681009003752405</v>
      </c>
      <c r="P63" s="19">
        <f t="shared" si="21"/>
        <v>0.1503383701274382</v>
      </c>
      <c r="Q63" s="79">
        <f t="shared" si="22"/>
        <v>44306.734300000127</v>
      </c>
      <c r="R63" s="1">
        <f t="shared" si="23"/>
        <v>2.9028083580753675E-4</v>
      </c>
      <c r="S63" s="23">
        <v>1</v>
      </c>
      <c r="T63" s="1">
        <f t="shared" si="24"/>
        <v>2.9028083580753675E-4</v>
      </c>
    </row>
    <row r="64" spans="1:20" ht="12" customHeight="1" x14ac:dyDescent="0.2">
      <c r="A64" s="77" t="s">
        <v>167</v>
      </c>
      <c r="B64" s="78" t="s">
        <v>50</v>
      </c>
      <c r="C64" s="80">
        <v>59325.235400000121</v>
      </c>
      <c r="D64" s="81" t="s">
        <v>74</v>
      </c>
      <c r="E64" s="48">
        <f t="shared" si="16"/>
        <v>18306.948914990084</v>
      </c>
      <c r="F64" s="49">
        <f t="shared" si="17"/>
        <v>18306.5</v>
      </c>
      <c r="G64" s="1">
        <f t="shared" si="18"/>
        <v>0.16847600011533359</v>
      </c>
      <c r="K64" s="1">
        <f t="shared" si="19"/>
        <v>0.16847600011533359</v>
      </c>
      <c r="O64" s="1">
        <f t="shared" ca="1" si="20"/>
        <v>0.1681009003752405</v>
      </c>
      <c r="P64" s="19">
        <f t="shared" si="21"/>
        <v>0.1503383701274382</v>
      </c>
      <c r="Q64" s="79">
        <f t="shared" si="22"/>
        <v>44306.735400000121</v>
      </c>
      <c r="R64" s="1">
        <f t="shared" si="23"/>
        <v>3.2897362157780223E-4</v>
      </c>
      <c r="S64" s="23">
        <v>1</v>
      </c>
      <c r="T64" s="1">
        <f t="shared" si="24"/>
        <v>3.2897362157780223E-4</v>
      </c>
    </row>
    <row r="65" spans="1:20" ht="12" customHeight="1" x14ac:dyDescent="0.2">
      <c r="A65" s="77" t="s">
        <v>168</v>
      </c>
      <c r="B65" s="78" t="s">
        <v>50</v>
      </c>
      <c r="C65" s="80">
        <v>59380.4035</v>
      </c>
      <c r="D65" s="81">
        <v>2.8E-3</v>
      </c>
      <c r="E65" s="48">
        <f t="shared" si="16"/>
        <v>18453.947817189623</v>
      </c>
      <c r="F65" s="49">
        <f t="shared" si="17"/>
        <v>18453.5</v>
      </c>
      <c r="G65" s="1">
        <f t="shared" si="18"/>
        <v>0.16806399999768473</v>
      </c>
      <c r="K65" s="1">
        <f t="shared" si="19"/>
        <v>0.16806399999768473</v>
      </c>
      <c r="O65" s="1">
        <f t="shared" ca="1" si="20"/>
        <v>0.16905485142452303</v>
      </c>
      <c r="P65" s="19">
        <f t="shared" si="21"/>
        <v>0.15045387464894128</v>
      </c>
      <c r="Q65" s="79">
        <f t="shared" si="22"/>
        <v>44361.9035</v>
      </c>
      <c r="R65" s="1">
        <f t="shared" si="23"/>
        <v>3.1011651479845678E-4</v>
      </c>
      <c r="S65" s="23">
        <v>1</v>
      </c>
      <c r="T65" s="1">
        <f t="shared" si="24"/>
        <v>3.1011651479845678E-4</v>
      </c>
    </row>
    <row r="66" spans="1:20" ht="12" customHeight="1" x14ac:dyDescent="0.2">
      <c r="A66" s="77" t="s">
        <v>169</v>
      </c>
      <c r="B66" s="78" t="s">
        <v>50</v>
      </c>
      <c r="C66" s="80">
        <v>59741.446799999998</v>
      </c>
      <c r="D66" s="81">
        <v>4.0000000000000002E-4</v>
      </c>
      <c r="E66" s="48">
        <f t="shared" si="16"/>
        <v>19415.970593877882</v>
      </c>
      <c r="F66" s="49">
        <f t="shared" si="17"/>
        <v>19415.5</v>
      </c>
      <c r="G66" s="1">
        <f t="shared" si="18"/>
        <v>0.17661199999565724</v>
      </c>
      <c r="K66" s="1">
        <f t="shared" si="19"/>
        <v>0.17661199999565724</v>
      </c>
      <c r="O66" s="1">
        <f t="shared" ca="1" si="20"/>
        <v>0.17529771475384162</v>
      </c>
      <c r="P66" s="19">
        <f t="shared" si="21"/>
        <v>0.15076932685623765</v>
      </c>
      <c r="Q66" s="79">
        <f t="shared" si="22"/>
        <v>44722.946799999998</v>
      </c>
      <c r="R66" s="1">
        <f t="shared" si="23"/>
        <v>6.6784375499087916E-4</v>
      </c>
      <c r="S66" s="23">
        <v>1</v>
      </c>
      <c r="T66" s="1">
        <f t="shared" si="24"/>
        <v>6.6784375499087916E-4</v>
      </c>
    </row>
    <row r="67" spans="1:20" ht="12" customHeight="1" x14ac:dyDescent="0.2">
      <c r="C67" s="10"/>
      <c r="D67" s="10"/>
    </row>
    <row r="68" spans="1:20" ht="12" customHeight="1" x14ac:dyDescent="0.2">
      <c r="C68" s="10"/>
      <c r="D68" s="10"/>
    </row>
    <row r="69" spans="1:20" ht="12" customHeight="1" x14ac:dyDescent="0.2">
      <c r="C69" s="10"/>
      <c r="D69" s="10"/>
    </row>
    <row r="70" spans="1:20" x14ac:dyDescent="0.2">
      <c r="C70" s="10"/>
      <c r="D70" s="10"/>
    </row>
    <row r="71" spans="1:20" x14ac:dyDescent="0.2">
      <c r="C71" s="10"/>
      <c r="D71" s="1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4" workbookViewId="0">
      <selection activeCell="A20" sqref="A20"/>
    </sheetView>
  </sheetViews>
  <sheetFormatPr defaultRowHeight="12.75" x14ac:dyDescent="0.2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5" t="s">
        <v>75</v>
      </c>
      <c r="I1" s="66" t="s">
        <v>76</v>
      </c>
      <c r="J1" s="67" t="s">
        <v>39</v>
      </c>
    </row>
    <row r="2" spans="1:16" x14ac:dyDescent="0.2">
      <c r="I2" s="68" t="s">
        <v>77</v>
      </c>
      <c r="J2" s="69" t="s">
        <v>38</v>
      </c>
    </row>
    <row r="3" spans="1:16" x14ac:dyDescent="0.2">
      <c r="A3" s="70" t="s">
        <v>78</v>
      </c>
      <c r="I3" s="68" t="s">
        <v>79</v>
      </c>
      <c r="J3" s="69" t="s">
        <v>36</v>
      </c>
    </row>
    <row r="4" spans="1:16" x14ac:dyDescent="0.2">
      <c r="I4" s="68" t="s">
        <v>80</v>
      </c>
      <c r="J4" s="69" t="s">
        <v>36</v>
      </c>
    </row>
    <row r="5" spans="1:16" x14ac:dyDescent="0.2">
      <c r="I5" s="71" t="s">
        <v>69</v>
      </c>
      <c r="J5" s="72" t="s">
        <v>37</v>
      </c>
    </row>
    <row r="11" spans="1:16" ht="12.75" customHeight="1" x14ac:dyDescent="0.2">
      <c r="A11" s="10" t="str">
        <f t="shared" ref="A11:A27" si="0">P11</f>
        <v>IBVS 5898 </v>
      </c>
      <c r="B11" s="23" t="str">
        <f t="shared" ref="B11:B27" si="1">IF(H11=INT(H11),"I","II")</f>
        <v>II</v>
      </c>
      <c r="C11" s="10">
        <f t="shared" ref="C11:C27" si="2">1*G11</f>
        <v>54597.534599999999</v>
      </c>
      <c r="D11" t="str">
        <f t="shared" ref="D11:D27" si="3">VLOOKUP(F11,I$1:J$5,2,FALSE)</f>
        <v>vis</v>
      </c>
      <c r="E11">
        <f>VLOOKUP(C11,Active!C$21:E$971,3,FALSE)</f>
        <v>5709.6902178546952</v>
      </c>
      <c r="F11" s="23" t="s">
        <v>69</v>
      </c>
      <c r="G11" t="str">
        <f t="shared" ref="G11:G27" si="4">MID(I11,3,LEN(I11)-3)</f>
        <v>54597.5346</v>
      </c>
      <c r="H11" s="10">
        <f t="shared" ref="H11:H27" si="5">1*K11</f>
        <v>5709.5</v>
      </c>
      <c r="I11" s="73" t="s">
        <v>81</v>
      </c>
      <c r="J11" s="74" t="s">
        <v>82</v>
      </c>
      <c r="K11" s="73">
        <v>5709.5</v>
      </c>
      <c r="L11" s="73" t="s">
        <v>83</v>
      </c>
      <c r="M11" s="74" t="s">
        <v>84</v>
      </c>
      <c r="N11" s="74" t="s">
        <v>69</v>
      </c>
      <c r="O11" s="75" t="s">
        <v>85</v>
      </c>
      <c r="P11" s="76" t="s">
        <v>59</v>
      </c>
    </row>
    <row r="12" spans="1:16" ht="12.75" customHeight="1" x14ac:dyDescent="0.2">
      <c r="A12" s="10" t="str">
        <f t="shared" si="0"/>
        <v>OEJV 0116 </v>
      </c>
      <c r="B12" s="23" t="str">
        <f t="shared" si="1"/>
        <v>I</v>
      </c>
      <c r="C12" s="10">
        <f t="shared" si="2"/>
        <v>54983.54</v>
      </c>
      <c r="D12" t="str">
        <f t="shared" si="3"/>
        <v>vis</v>
      </c>
      <c r="E12">
        <f>VLOOKUP(C12,Active!C$21:E$971,3,FALSE)</f>
        <v>6738.2260935368286</v>
      </c>
      <c r="F12" s="23" t="s">
        <v>69</v>
      </c>
      <c r="G12" t="str">
        <f t="shared" si="4"/>
        <v>54983.540</v>
      </c>
      <c r="H12" s="10">
        <f t="shared" si="5"/>
        <v>6738</v>
      </c>
      <c r="I12" s="73" t="s">
        <v>86</v>
      </c>
      <c r="J12" s="74" t="s">
        <v>87</v>
      </c>
      <c r="K12" s="73">
        <v>6738</v>
      </c>
      <c r="L12" s="73" t="s">
        <v>88</v>
      </c>
      <c r="M12" s="74" t="s">
        <v>84</v>
      </c>
      <c r="N12" s="74" t="s">
        <v>89</v>
      </c>
      <c r="O12" s="75" t="s">
        <v>90</v>
      </c>
      <c r="P12" s="76" t="s">
        <v>91</v>
      </c>
    </row>
    <row r="13" spans="1:16" ht="12.75" customHeight="1" x14ac:dyDescent="0.2">
      <c r="A13" s="10" t="str">
        <f t="shared" si="0"/>
        <v>BAVM 215 </v>
      </c>
      <c r="B13" s="23" t="str">
        <f t="shared" si="1"/>
        <v>I</v>
      </c>
      <c r="C13" s="10">
        <f t="shared" si="2"/>
        <v>55385.494200000001</v>
      </c>
      <c r="D13" t="str">
        <f t="shared" si="3"/>
        <v>vis</v>
      </c>
      <c r="E13">
        <f>VLOOKUP(C13,Active!C$21:E$971,3,FALSE)</f>
        <v>7809.258558577756</v>
      </c>
      <c r="F13" s="23" t="s">
        <v>69</v>
      </c>
      <c r="G13" t="str">
        <f t="shared" si="4"/>
        <v>55385.4942</v>
      </c>
      <c r="H13" s="10">
        <f t="shared" si="5"/>
        <v>7809</v>
      </c>
      <c r="I13" s="73" t="s">
        <v>92</v>
      </c>
      <c r="J13" s="74" t="s">
        <v>93</v>
      </c>
      <c r="K13" s="73" t="s">
        <v>94</v>
      </c>
      <c r="L13" s="73" t="s">
        <v>95</v>
      </c>
      <c r="M13" s="74" t="s">
        <v>84</v>
      </c>
      <c r="N13" s="74" t="s">
        <v>96</v>
      </c>
      <c r="O13" s="75" t="s">
        <v>97</v>
      </c>
      <c r="P13" s="76" t="s">
        <v>98</v>
      </c>
    </row>
    <row r="14" spans="1:16" ht="12.75" customHeight="1" x14ac:dyDescent="0.2">
      <c r="A14" s="10" t="str">
        <f t="shared" si="0"/>
        <v>IBVS 6005 </v>
      </c>
      <c r="B14" s="23" t="str">
        <f t="shared" si="1"/>
        <v>I</v>
      </c>
      <c r="C14" s="10">
        <f t="shared" si="2"/>
        <v>55727.3963</v>
      </c>
      <c r="D14" t="str">
        <f t="shared" si="3"/>
        <v>vis</v>
      </c>
      <c r="E14">
        <f>VLOOKUP(C14,Active!C$21:E$971,3,FALSE)</f>
        <v>8720.278393587987</v>
      </c>
      <c r="F14" s="23" t="s">
        <v>69</v>
      </c>
      <c r="G14" t="str">
        <f t="shared" si="4"/>
        <v>55727.3963</v>
      </c>
      <c r="H14" s="10">
        <f t="shared" si="5"/>
        <v>8720</v>
      </c>
      <c r="I14" s="73" t="s">
        <v>99</v>
      </c>
      <c r="J14" s="74" t="s">
        <v>100</v>
      </c>
      <c r="K14" s="73" t="s">
        <v>101</v>
      </c>
      <c r="L14" s="73" t="s">
        <v>102</v>
      </c>
      <c r="M14" s="74" t="s">
        <v>84</v>
      </c>
      <c r="N14" s="74" t="s">
        <v>103</v>
      </c>
      <c r="O14" s="75" t="s">
        <v>104</v>
      </c>
      <c r="P14" s="76" t="s">
        <v>105</v>
      </c>
    </row>
    <row r="15" spans="1:16" ht="12.75" customHeight="1" x14ac:dyDescent="0.2">
      <c r="A15" s="10" t="str">
        <f t="shared" si="0"/>
        <v>IBVS 6005 </v>
      </c>
      <c r="B15" s="23" t="str">
        <f t="shared" si="1"/>
        <v>II</v>
      </c>
      <c r="C15" s="10">
        <f t="shared" si="2"/>
        <v>55729.463199999998</v>
      </c>
      <c r="D15" t="str">
        <f t="shared" si="3"/>
        <v>vis</v>
      </c>
      <c r="E15">
        <f>VLOOKUP(C15,Active!C$21:E$971,3,FALSE)</f>
        <v>8725.7857797578308</v>
      </c>
      <c r="F15" s="23" t="s">
        <v>69</v>
      </c>
      <c r="G15" t="str">
        <f t="shared" si="4"/>
        <v>55729.4632</v>
      </c>
      <c r="H15" s="10">
        <f t="shared" si="5"/>
        <v>8725.5</v>
      </c>
      <c r="I15" s="73" t="s">
        <v>106</v>
      </c>
      <c r="J15" s="74" t="s">
        <v>107</v>
      </c>
      <c r="K15" s="73" t="s">
        <v>108</v>
      </c>
      <c r="L15" s="73" t="s">
        <v>109</v>
      </c>
      <c r="M15" s="74" t="s">
        <v>84</v>
      </c>
      <c r="N15" s="74" t="s">
        <v>103</v>
      </c>
      <c r="O15" s="75" t="s">
        <v>104</v>
      </c>
      <c r="P15" s="76" t="s">
        <v>105</v>
      </c>
    </row>
    <row r="16" spans="1:16" ht="12.75" customHeight="1" x14ac:dyDescent="0.2">
      <c r="A16" s="10" t="str">
        <f t="shared" si="0"/>
        <v>IBVS 6029 </v>
      </c>
      <c r="B16" s="23" t="str">
        <f t="shared" si="1"/>
        <v>II</v>
      </c>
      <c r="C16" s="10">
        <f t="shared" si="2"/>
        <v>56078.868699999999</v>
      </c>
      <c r="D16" t="str">
        <f t="shared" si="3"/>
        <v>vis</v>
      </c>
      <c r="E16">
        <f>VLOOKUP(C16,Active!C$21:E$971,3,FALSE)</f>
        <v>9656.798900068201</v>
      </c>
      <c r="F16" s="23" t="s">
        <v>69</v>
      </c>
      <c r="G16" t="str">
        <f t="shared" si="4"/>
        <v>56078.8687</v>
      </c>
      <c r="H16" s="10">
        <f t="shared" si="5"/>
        <v>9656.5</v>
      </c>
      <c r="I16" s="73" t="s">
        <v>110</v>
      </c>
      <c r="J16" s="74" t="s">
        <v>111</v>
      </c>
      <c r="K16" s="73" t="s">
        <v>112</v>
      </c>
      <c r="L16" s="73" t="s">
        <v>113</v>
      </c>
      <c r="M16" s="74" t="s">
        <v>84</v>
      </c>
      <c r="N16" s="74" t="s">
        <v>69</v>
      </c>
      <c r="O16" s="75" t="s">
        <v>114</v>
      </c>
      <c r="P16" s="76" t="s">
        <v>115</v>
      </c>
    </row>
    <row r="17" spans="1:16" ht="12.75" customHeight="1" x14ac:dyDescent="0.2">
      <c r="A17" s="10" t="str">
        <f t="shared" si="0"/>
        <v>IBVS 6075 </v>
      </c>
      <c r="B17" s="23" t="str">
        <f t="shared" si="1"/>
        <v>II</v>
      </c>
      <c r="C17" s="10">
        <f t="shared" si="2"/>
        <v>56081.497100000001</v>
      </c>
      <c r="D17" t="str">
        <f t="shared" si="3"/>
        <v>vis</v>
      </c>
      <c r="E17">
        <f>VLOOKUP(C17,Active!C$21:E$971,3,FALSE)</f>
        <v>9663.8024386084508</v>
      </c>
      <c r="F17" s="23" t="s">
        <v>69</v>
      </c>
      <c r="G17" t="str">
        <f t="shared" si="4"/>
        <v>56081.4971</v>
      </c>
      <c r="H17" s="10">
        <f t="shared" si="5"/>
        <v>9663.5</v>
      </c>
      <c r="I17" s="73" t="s">
        <v>116</v>
      </c>
      <c r="J17" s="74" t="s">
        <v>117</v>
      </c>
      <c r="K17" s="73" t="s">
        <v>118</v>
      </c>
      <c r="L17" s="73" t="s">
        <v>119</v>
      </c>
      <c r="M17" s="74" t="s">
        <v>84</v>
      </c>
      <c r="N17" s="74" t="s">
        <v>103</v>
      </c>
      <c r="O17" s="75" t="s">
        <v>120</v>
      </c>
      <c r="P17" s="76" t="s">
        <v>121</v>
      </c>
    </row>
    <row r="18" spans="1:16" ht="12.75" customHeight="1" x14ac:dyDescent="0.2">
      <c r="A18" s="10" t="str">
        <f t="shared" si="0"/>
        <v>IBVS 6075 </v>
      </c>
      <c r="B18" s="23" t="str">
        <f t="shared" si="1"/>
        <v>II</v>
      </c>
      <c r="C18" s="10">
        <f t="shared" si="2"/>
        <v>56084.499000000003</v>
      </c>
      <c r="D18" t="str">
        <f t="shared" si="3"/>
        <v>vis</v>
      </c>
      <c r="E18">
        <f>VLOOKUP(C18,Active!C$21:E$971,3,FALSE)</f>
        <v>9671.8011915927691</v>
      </c>
      <c r="F18" s="23" t="s">
        <v>69</v>
      </c>
      <c r="G18" t="str">
        <f t="shared" si="4"/>
        <v>56084.4990</v>
      </c>
      <c r="H18" s="10">
        <f t="shared" si="5"/>
        <v>9671.5</v>
      </c>
      <c r="I18" s="73" t="s">
        <v>122</v>
      </c>
      <c r="J18" s="74" t="s">
        <v>123</v>
      </c>
      <c r="K18" s="73" t="s">
        <v>124</v>
      </c>
      <c r="L18" s="73" t="s">
        <v>125</v>
      </c>
      <c r="M18" s="74" t="s">
        <v>84</v>
      </c>
      <c r="N18" s="74" t="s">
        <v>103</v>
      </c>
      <c r="O18" s="75" t="s">
        <v>126</v>
      </c>
      <c r="P18" s="76" t="s">
        <v>121</v>
      </c>
    </row>
    <row r="19" spans="1:16" ht="12.75" customHeight="1" x14ac:dyDescent="0.2">
      <c r="A19" s="10" t="str">
        <f t="shared" si="0"/>
        <v>BAVM 238 </v>
      </c>
      <c r="B19" s="23" t="str">
        <f t="shared" si="1"/>
        <v>I</v>
      </c>
      <c r="C19" s="10">
        <f t="shared" si="2"/>
        <v>56815.399100000002</v>
      </c>
      <c r="D19" t="str">
        <f t="shared" si="3"/>
        <v>vis</v>
      </c>
      <c r="E19">
        <f>VLOOKUP(C19,Active!C$21:E$971,3,FALSE)</f>
        <v>11619.330874829466</v>
      </c>
      <c r="F19" s="23" t="s">
        <v>69</v>
      </c>
      <c r="G19" t="str">
        <f t="shared" si="4"/>
        <v>56815.3991</v>
      </c>
      <c r="H19" s="10">
        <f t="shared" si="5"/>
        <v>11619</v>
      </c>
      <c r="I19" s="73" t="s">
        <v>127</v>
      </c>
      <c r="J19" s="74" t="s">
        <v>128</v>
      </c>
      <c r="K19" s="73" t="s">
        <v>129</v>
      </c>
      <c r="L19" s="73" t="s">
        <v>130</v>
      </c>
      <c r="M19" s="74" t="s">
        <v>84</v>
      </c>
      <c r="N19" s="74" t="s">
        <v>96</v>
      </c>
      <c r="O19" s="75" t="s">
        <v>97</v>
      </c>
      <c r="P19" s="76" t="s">
        <v>131</v>
      </c>
    </row>
    <row r="20" spans="1:16" ht="12.75" customHeight="1" x14ac:dyDescent="0.2">
      <c r="A20" s="10" t="str">
        <f t="shared" si="0"/>
        <v>VSB 50 </v>
      </c>
      <c r="B20" s="23" t="str">
        <f t="shared" si="1"/>
        <v>I</v>
      </c>
      <c r="C20" s="10">
        <f t="shared" si="2"/>
        <v>54994.047899999998</v>
      </c>
      <c r="D20" t="str">
        <f t="shared" si="3"/>
        <v>vis</v>
      </c>
      <c r="E20">
        <f>VLOOKUP(C20,Active!C$21:E$971,3,FALSE)</f>
        <v>6766.2250596862059</v>
      </c>
      <c r="F20" s="23" t="s">
        <v>69</v>
      </c>
      <c r="G20" t="str">
        <f t="shared" si="4"/>
        <v>54994.0479</v>
      </c>
      <c r="H20" s="10">
        <f t="shared" si="5"/>
        <v>6766</v>
      </c>
      <c r="I20" s="73" t="s">
        <v>132</v>
      </c>
      <c r="J20" s="74" t="s">
        <v>133</v>
      </c>
      <c r="K20" s="73">
        <v>6766</v>
      </c>
      <c r="L20" s="73" t="s">
        <v>134</v>
      </c>
      <c r="M20" s="74" t="s">
        <v>84</v>
      </c>
      <c r="N20" s="74" t="s">
        <v>73</v>
      </c>
      <c r="O20" s="75" t="s">
        <v>135</v>
      </c>
      <c r="P20" s="76" t="s">
        <v>56</v>
      </c>
    </row>
    <row r="21" spans="1:16" ht="12.75" customHeight="1" x14ac:dyDescent="0.2">
      <c r="A21" s="10" t="str">
        <f t="shared" si="0"/>
        <v>BAVM 212 </v>
      </c>
      <c r="B21" s="23" t="str">
        <f t="shared" si="1"/>
        <v>II</v>
      </c>
      <c r="C21" s="10">
        <f t="shared" si="2"/>
        <v>55041.520799999998</v>
      </c>
      <c r="D21" t="str">
        <f t="shared" si="3"/>
        <v>vis</v>
      </c>
      <c r="E21">
        <f>VLOOKUP(C21,Active!C$21:E$971,3,FALSE)</f>
        <v>6892.7196133185407</v>
      </c>
      <c r="F21" s="23" t="s">
        <v>69</v>
      </c>
      <c r="G21" t="str">
        <f t="shared" si="4"/>
        <v>55041.5208</v>
      </c>
      <c r="H21" s="10">
        <f t="shared" si="5"/>
        <v>6892.5</v>
      </c>
      <c r="I21" s="73" t="s">
        <v>136</v>
      </c>
      <c r="J21" s="74" t="s">
        <v>137</v>
      </c>
      <c r="K21" s="73">
        <v>6892.5</v>
      </c>
      <c r="L21" s="73" t="s">
        <v>138</v>
      </c>
      <c r="M21" s="74" t="s">
        <v>84</v>
      </c>
      <c r="N21" s="74" t="s">
        <v>96</v>
      </c>
      <c r="O21" s="75" t="s">
        <v>97</v>
      </c>
      <c r="P21" s="76" t="s">
        <v>57</v>
      </c>
    </row>
    <row r="22" spans="1:16" ht="12.75" customHeight="1" x14ac:dyDescent="0.2">
      <c r="A22" s="10" t="str">
        <f t="shared" si="0"/>
        <v>IBVS 5980 </v>
      </c>
      <c r="B22" s="23" t="str">
        <f t="shared" si="1"/>
        <v>II</v>
      </c>
      <c r="C22" s="10">
        <f t="shared" si="2"/>
        <v>55309.493999999999</v>
      </c>
      <c r="D22" t="str">
        <f t="shared" si="3"/>
        <v>vis</v>
      </c>
      <c r="E22">
        <f>VLOOKUP(C22,Active!C$21:E$971,3,FALSE)</f>
        <v>7606.7512043826619</v>
      </c>
      <c r="F22" s="23" t="s">
        <v>69</v>
      </c>
      <c r="G22" t="str">
        <f t="shared" si="4"/>
        <v>55309.4940</v>
      </c>
      <c r="H22" s="10">
        <f t="shared" si="5"/>
        <v>7606.5</v>
      </c>
      <c r="I22" s="73" t="s">
        <v>139</v>
      </c>
      <c r="J22" s="74" t="s">
        <v>140</v>
      </c>
      <c r="K22" s="73" t="s">
        <v>141</v>
      </c>
      <c r="L22" s="73" t="s">
        <v>142</v>
      </c>
      <c r="M22" s="74" t="s">
        <v>84</v>
      </c>
      <c r="N22" s="74" t="s">
        <v>143</v>
      </c>
      <c r="O22" s="75" t="s">
        <v>85</v>
      </c>
      <c r="P22" s="76" t="s">
        <v>58</v>
      </c>
    </row>
    <row r="23" spans="1:16" ht="12.75" customHeight="1" x14ac:dyDescent="0.2">
      <c r="A23" s="10" t="str">
        <f t="shared" si="0"/>
        <v>IBVS 5898 </v>
      </c>
      <c r="B23" s="23" t="str">
        <f t="shared" si="1"/>
        <v>II</v>
      </c>
      <c r="C23" s="10">
        <f t="shared" si="2"/>
        <v>55356.405299999999</v>
      </c>
      <c r="D23" t="str">
        <f t="shared" si="3"/>
        <v>vis</v>
      </c>
      <c r="E23">
        <f>VLOOKUP(C23,Active!C$21:E$971,3,FALSE)</f>
        <v>7731.7493391882545</v>
      </c>
      <c r="F23" s="23" t="s">
        <v>69</v>
      </c>
      <c r="G23" t="str">
        <f t="shared" si="4"/>
        <v>55356.4053</v>
      </c>
      <c r="H23" s="10">
        <f t="shared" si="5"/>
        <v>7731.5</v>
      </c>
      <c r="I23" s="73" t="s">
        <v>144</v>
      </c>
      <c r="J23" s="74" t="s">
        <v>145</v>
      </c>
      <c r="K23" s="73" t="s">
        <v>146</v>
      </c>
      <c r="L23" s="73" t="s">
        <v>147</v>
      </c>
      <c r="M23" s="74" t="s">
        <v>84</v>
      </c>
      <c r="N23" s="74" t="s">
        <v>143</v>
      </c>
      <c r="O23" s="75" t="s">
        <v>85</v>
      </c>
      <c r="P23" s="76" t="s">
        <v>59</v>
      </c>
    </row>
    <row r="24" spans="1:16" ht="12.75" customHeight="1" x14ac:dyDescent="0.2">
      <c r="A24" s="10" t="str">
        <f t="shared" si="0"/>
        <v>IBVS 6044 </v>
      </c>
      <c r="B24" s="23" t="str">
        <f t="shared" si="1"/>
        <v>I</v>
      </c>
      <c r="C24" s="10">
        <f t="shared" si="2"/>
        <v>55651.585200000001</v>
      </c>
      <c r="D24" t="str">
        <f t="shared" si="3"/>
        <v>vis</v>
      </c>
      <c r="E24">
        <f>VLOOKUP(C24,Active!C$21:E$971,3,FALSE)</f>
        <v>8518.2749083390117</v>
      </c>
      <c r="F24" s="23" t="s">
        <v>69</v>
      </c>
      <c r="G24" t="str">
        <f t="shared" si="4"/>
        <v>55651.5852</v>
      </c>
      <c r="H24" s="10">
        <f t="shared" si="5"/>
        <v>8518</v>
      </c>
      <c r="I24" s="73" t="s">
        <v>148</v>
      </c>
      <c r="J24" s="74" t="s">
        <v>149</v>
      </c>
      <c r="K24" s="73" t="s">
        <v>150</v>
      </c>
      <c r="L24" s="73" t="s">
        <v>151</v>
      </c>
      <c r="M24" s="74" t="s">
        <v>84</v>
      </c>
      <c r="N24" s="74" t="s">
        <v>69</v>
      </c>
      <c r="O24" s="75" t="s">
        <v>85</v>
      </c>
      <c r="P24" s="76" t="s">
        <v>61</v>
      </c>
    </row>
    <row r="25" spans="1:16" ht="12.75" customHeight="1" x14ac:dyDescent="0.2">
      <c r="A25" s="10" t="str">
        <f t="shared" si="0"/>
        <v>IBVS 6044 </v>
      </c>
      <c r="B25" s="23" t="str">
        <f t="shared" si="1"/>
        <v>I</v>
      </c>
      <c r="C25" s="10">
        <f t="shared" si="2"/>
        <v>55686.489000000001</v>
      </c>
      <c r="D25" t="str">
        <f t="shared" si="3"/>
        <v>vis</v>
      </c>
      <c r="E25">
        <f>VLOOKUP(C25,Active!C$21:E$971,3,FALSE)</f>
        <v>8611.2782976637045</v>
      </c>
      <c r="F25" s="23" t="s">
        <v>69</v>
      </c>
      <c r="G25" t="str">
        <f t="shared" si="4"/>
        <v>55686.4890</v>
      </c>
      <c r="H25" s="10">
        <f t="shared" si="5"/>
        <v>8611</v>
      </c>
      <c r="I25" s="73" t="s">
        <v>152</v>
      </c>
      <c r="J25" s="74" t="s">
        <v>153</v>
      </c>
      <c r="K25" s="73" t="s">
        <v>154</v>
      </c>
      <c r="L25" s="73" t="s">
        <v>155</v>
      </c>
      <c r="M25" s="74" t="s">
        <v>84</v>
      </c>
      <c r="N25" s="74" t="s">
        <v>69</v>
      </c>
      <c r="O25" s="75" t="s">
        <v>85</v>
      </c>
      <c r="P25" s="76" t="s">
        <v>61</v>
      </c>
    </row>
    <row r="26" spans="1:16" ht="12.75" customHeight="1" x14ac:dyDescent="0.2">
      <c r="A26" s="10" t="str">
        <f t="shared" si="0"/>
        <v>IBVS 6044 </v>
      </c>
      <c r="B26" s="23" t="str">
        <f t="shared" si="1"/>
        <v>I</v>
      </c>
      <c r="C26" s="10">
        <f t="shared" si="2"/>
        <v>56073.429300000003</v>
      </c>
      <c r="D26" t="str">
        <f t="shared" si="3"/>
        <v>vis</v>
      </c>
      <c r="E26">
        <f>VLOOKUP(C26,Active!C$21:E$971,3,FALSE)</f>
        <v>9642.3052737039561</v>
      </c>
      <c r="F26" s="23" t="s">
        <v>69</v>
      </c>
      <c r="G26" t="str">
        <f t="shared" si="4"/>
        <v>56073.4293</v>
      </c>
      <c r="H26" s="10">
        <f t="shared" si="5"/>
        <v>9642</v>
      </c>
      <c r="I26" s="73" t="s">
        <v>156</v>
      </c>
      <c r="J26" s="74" t="s">
        <v>157</v>
      </c>
      <c r="K26" s="73" t="s">
        <v>158</v>
      </c>
      <c r="L26" s="73" t="s">
        <v>159</v>
      </c>
      <c r="M26" s="74" t="s">
        <v>84</v>
      </c>
      <c r="N26" s="74" t="s">
        <v>69</v>
      </c>
      <c r="O26" s="75" t="s">
        <v>85</v>
      </c>
      <c r="P26" s="76" t="s">
        <v>61</v>
      </c>
    </row>
    <row r="27" spans="1:16" ht="12.75" customHeight="1" x14ac:dyDescent="0.2">
      <c r="A27" s="10" t="str">
        <f t="shared" si="0"/>
        <v>BAVM 241 (=IBVS 6157) </v>
      </c>
      <c r="B27" s="23" t="str">
        <f t="shared" si="1"/>
        <v>II</v>
      </c>
      <c r="C27" s="10">
        <f t="shared" si="2"/>
        <v>57207.398099999999</v>
      </c>
      <c r="D27" t="str">
        <f t="shared" si="3"/>
        <v>vis</v>
      </c>
      <c r="E27">
        <f>VLOOKUP(C27,Active!C$21:E$971,3,FALSE)</f>
        <v>12663.837077933138</v>
      </c>
      <c r="F27" s="23" t="s">
        <v>69</v>
      </c>
      <c r="G27" t="str">
        <f t="shared" si="4"/>
        <v>57207.3981</v>
      </c>
      <c r="H27" s="10">
        <f t="shared" si="5"/>
        <v>12663.5</v>
      </c>
      <c r="I27" s="73" t="s">
        <v>160</v>
      </c>
      <c r="J27" s="74" t="s">
        <v>161</v>
      </c>
      <c r="K27" s="73" t="s">
        <v>162</v>
      </c>
      <c r="L27" s="73" t="s">
        <v>163</v>
      </c>
      <c r="M27" s="74" t="s">
        <v>84</v>
      </c>
      <c r="N27" s="74" t="s">
        <v>96</v>
      </c>
      <c r="O27" s="75" t="s">
        <v>97</v>
      </c>
      <c r="P27" s="76" t="s">
        <v>164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2023-01-20T07:03:03Z</dcterms:created>
  <dcterms:modified xsi:type="dcterms:W3CDTF">2024-02-28T04:46:17Z</dcterms:modified>
</cp:coreProperties>
</file>