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5EE6C43-39E8-41C4-97F2-1AC0B54CB7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C21" i="1"/>
  <c r="A21" i="1"/>
  <c r="C9" i="1"/>
  <c r="D9" i="1"/>
  <c r="F16" i="1"/>
  <c r="F17" i="1" s="1"/>
  <c r="C17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C12" i="1"/>
  <c r="C11" i="1"/>
  <c r="O21" i="1" l="1"/>
  <c r="O23" i="1"/>
  <c r="O22" i="1"/>
  <c r="O24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<sst xmlns="http://schemas.openxmlformats.org/spreadsheetml/2006/main" count="52" uniqueCount="49">
  <si>
    <t>V2635 Oph / GSC 5066-0736</t>
  </si>
  <si>
    <t>G5066-0736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</si>
  <si>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</si>
  <si>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</si>
  <si>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</si>
  <si>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</si>
  <si>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</si>
  <si>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</si>
  <si>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</si>
  <si>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</si>
  <si>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</si>
  <si>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</si>
  <si>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</si>
  <si>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</si>
  <si>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</si>
  <si>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</si>
  <si>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</si>
  <si>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</si>
  <si>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</si>
  <si>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</si>
  <si>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</si>
  <si>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</si>
  <si>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</si>
  <si>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</si>
  <si>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</si>
  <si>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</si>
  <si>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</si>
  <si>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</si>
  <si>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</si>
  <si>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</si>
  <si>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</si>
  <si>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</si>
  <si>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</si>
  <si>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</si>
  <si>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</si>
  <si>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</si>
  <si>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</si>
  <si>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</si>
  <si>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</si>
  <si>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</si>
  <si>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</si>
  <si>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</si>
  <si>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</si>
  <si>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</si>
  <si>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</si>
  <si>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II</t>
  </si>
  <si>
    <t>OEJV 0179</t>
  </si>
  <si>
    <t>OEJV 0211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</si>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</sst>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3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2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V2635 Oph - O-C Diagr.</a:t>
            </a:r>
          </a:p>
        </c:rich>
      </c:tx>
      <c:layout>
        <c:manualLayout>
          <c:xMode val="edge"/>
          <c:yMode val="edge"/>
          <c:x val="0.37001404398040338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0069461743691"/>
          <c:y val="0.13713776768894878"/>
          <c:w val="0.82255903706672151"/>
          <c:h val="0.67367525005320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0-4E03-BC6D-B177278696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0-4E03-BC6D-B177278696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A0-4E03-BC6D-B177278696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Active!$F$21:$F$239</c:f>
              <c:numCache>
                <c:formatCode>General</c:formatCode>
                <c:ptCount val="219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  <c:pt idx="3">
                  <c:v>12023.5</c:v>
                </c:pt>
              </c:numCache>
            </c:numRef>
          </c:xVal>
          <c:yVal>
            <c:numRef>
              <c:f>Active!$K$21:$K$239</c:f>
              <c:numCache>
                <c:formatCode>General</c:formatCode>
                <c:ptCount val="219"/>
                <c:pt idx="0">
                  <c:v>0</c:v>
                </c:pt>
                <c:pt idx="1">
                  <c:v>1.2999999962630682E-3</c:v>
                </c:pt>
                <c:pt idx="2">
                  <c:v>-2.4200000043492764E-3</c:v>
                </c:pt>
                <c:pt idx="3">
                  <c:v>-1.1709999816957861E-2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A0-4E03-BC6D-B177278696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A0-4E03-BC6D-B177278696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A0-4E03-BC6D-B177278696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A0-4E03-BC6D-B177278696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Active!$O$21:$O$23</c:f>
              <c:numCache>
                <c:formatCode>General</c:formatCode>
                <c:ptCount val="3"/>
                <c:pt idx="0">
                  <c:v>2.2041770932466724E-3</c:v>
                </c:pt>
                <c:pt idx="1">
                  <c:v>-2.9220239084018374E-3</c:v>
                </c:pt>
                <c:pt idx="2">
                  <c:v>-5.4384218937987587E-3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A0-4E03-BC6D-B177278696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6942.5</c:v>
                </c:pt>
                <c:pt idx="2">
                  <c:v>10350.5</c:v>
                </c:pt>
              </c:numCache>
            </c:numRef>
          </c:xVal>
          <c:yVal>
            <c:numRef>
              <c:f>Active!$U$21:$U$23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A0-4E03-BC6D-B1772786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67040"/>
        <c:axId val="1"/>
      </c:scatterChart>
      <c:valAx>
        <c:axId val="71666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10316368638238E-2"/>
              <c:y val="0.37237363347599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6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2092228155112"/>
          <c:y val="0.90090342310814753"/>
          <c:w val="0.653370446988486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F09EDC-7256-F3CA-6B22-44D0DD22B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pane xSplit="14" ySplit="21" topLeftCell="O22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/>
      <c r="F1" s="1" t="s">
        <v>1</v>
      </c>
    </row>
    <row r="2" spans="1:6" x14ac:dyDescent="0.2">
      <c r="A2" s="1" t="s">
        <v>2</v>
      </c>
      <c r="B2" s="1" t="s">
        <v>3</v>
      </c>
      <c r="C2" s="4"/>
      <c r="D2" s="4"/>
      <c r="E2" s="1">
        <v>0</v>
      </c>
    </row>
    <row r="4" spans="1:6" x14ac:dyDescent="0.2">
      <c r="A4" s="5" t="s">
        <v>4</v>
      </c>
      <c r="C4" s="6">
        <v>52720.838000000003</v>
      </c>
      <c r="D4" s="7">
        <v>0.43096000000000001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v>52720.838000000003</v>
      </c>
      <c r="D7" s="1" t="s">
        <v>48</v>
      </c>
    </row>
    <row r="8" spans="1:6" x14ac:dyDescent="0.2">
      <c r="A8" s="1" t="s">
        <v>9</v>
      </c>
      <c r="C8" s="1">
        <v>0.43096000000000001</v>
      </c>
      <c r="D8" s="10" t="s">
        <v>48</v>
      </c>
    </row>
    <row r="9" spans="1:6" x14ac:dyDescent="0.2">
      <c r="A9" s="11" t="s">
        <v>10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INTERCEPT(INDIRECT($D$9):G990,INDIRECT($C$9):F990)</f>
        <v>2.2041770932466724E-3</v>
      </c>
      <c r="D11" s="4"/>
      <c r="E11"/>
    </row>
    <row r="12" spans="1:6" x14ac:dyDescent="0.2">
      <c r="A12" t="s">
        <v>14</v>
      </c>
      <c r="B12"/>
      <c r="C12" s="16">
        <f ca="1">SLOPE(INDIRECT($D$9):G990,INDIRECT($C$9):F990)</f>
        <v>-7.3837969055073967E-7</v>
      </c>
      <c r="D12" s="4"/>
      <c r="E12"/>
    </row>
    <row r="13" spans="1:6" x14ac:dyDescent="0.2">
      <c r="A13" t="s">
        <v>15</v>
      </c>
      <c r="B13"/>
      <c r="C13" s="4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(C21+C11)+(C8+C12)*INT(MAX(F21:F3531))</f>
        <v>57902.263406638078</v>
      </c>
      <c r="E15" s="19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0.43095926162030945</v>
      </c>
      <c r="E16" s="19" t="s">
        <v>20</v>
      </c>
      <c r="F16" s="16">
        <f ca="1">NOW()+15018.5+$C$5/24</f>
        <v>60368.743087152776</v>
      </c>
    </row>
    <row r="17" spans="1:21" x14ac:dyDescent="0.2">
      <c r="A17" s="19" t="s">
        <v>21</v>
      </c>
      <c r="B17"/>
      <c r="C17">
        <f>COUNT(C21:C2189)</f>
        <v>4</v>
      </c>
      <c r="E17" s="19" t="s">
        <v>22</v>
      </c>
      <c r="F17" s="16">
        <f ca="1">ROUND(2*(F16-$C$21)/$C$8,0)/2+F15</f>
        <v>17747</v>
      </c>
    </row>
    <row r="18" spans="1:21" x14ac:dyDescent="0.2">
      <c r="A18" s="17" t="s">
        <v>23</v>
      </c>
      <c r="B18"/>
      <c r="C18" s="20">
        <f ca="1">+C15</f>
        <v>57902.263406638078</v>
      </c>
      <c r="D18" s="21">
        <f ca="1">+C16</f>
        <v>0.43095926162030945</v>
      </c>
      <c r="E18" s="19" t="s">
        <v>24</v>
      </c>
      <c r="F18" s="14">
        <f ca="1">ROUND(2*(F16-$C$15)/$C$16,0)/2+F15</f>
        <v>5724</v>
      </c>
    </row>
    <row r="19" spans="1:21" x14ac:dyDescent="0.2">
      <c r="E19" s="19" t="s">
        <v>25</v>
      </c>
      <c r="F19" s="22">
        <f ca="1">+$C$15+$C$16*F18-15018.5-$C$5/24</f>
        <v>45350.970053486068</v>
      </c>
    </row>
    <row r="20" spans="1:21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  <c r="U20" s="24" t="s">
        <v>43</v>
      </c>
    </row>
    <row r="21" spans="1:21" x14ac:dyDescent="0.2">
      <c r="A21" s="1" t="str">
        <f>$D$7</f>
        <v>VSX</v>
      </c>
      <c r="C21" s="25">
        <f>$C$7</f>
        <v>52720.838000000003</v>
      </c>
      <c r="D21" s="25"/>
      <c r="E21" s="1">
        <f>+(C21-C$21)/C$8</f>
        <v>0</v>
      </c>
      <c r="F21" s="1">
        <f>ROUND(2*E21,0)/2</f>
        <v>0</v>
      </c>
      <c r="G21" s="1">
        <f>+C21-(C$21+F21*C$8)</f>
        <v>0</v>
      </c>
      <c r="K21" s="1">
        <f>+G21</f>
        <v>0</v>
      </c>
      <c r="O21" s="1">
        <f ca="1">+C$11+C$12*$F21</f>
        <v>2.2041770932466724E-3</v>
      </c>
      <c r="Q21" s="26">
        <f>+C21-15018.5</f>
        <v>37702.338000000003</v>
      </c>
    </row>
    <row r="22" spans="1:21" x14ac:dyDescent="0.2">
      <c r="A22" s="27" t="s">
        <v>44</v>
      </c>
      <c r="B22" s="28" t="s">
        <v>45</v>
      </c>
      <c r="C22" s="27">
        <v>55712.7791</v>
      </c>
      <c r="D22" s="27">
        <v>2.9999999999999997E-4</v>
      </c>
      <c r="E22" s="1">
        <f>+(C22-C$21)/C$8</f>
        <v>6942.5030165212465</v>
      </c>
      <c r="F22" s="1">
        <f>ROUND(2*E22,0)/2</f>
        <v>6942.5</v>
      </c>
      <c r="G22" s="1">
        <f>+C22-(C$21+F22*C$8)</f>
        <v>1.2999999962630682E-3</v>
      </c>
      <c r="K22" s="1">
        <f>+G22</f>
        <v>1.2999999962630682E-3</v>
      </c>
      <c r="O22" s="1">
        <f ca="1">+C$11+C$12*$F22</f>
        <v>-2.9220239084018374E-3</v>
      </c>
      <c r="Q22" s="26">
        <f>+C22-15018.5</f>
        <v>40694.2791</v>
      </c>
    </row>
    <row r="23" spans="1:21" x14ac:dyDescent="0.2">
      <c r="A23" s="29" t="s">
        <v>46</v>
      </c>
      <c r="B23" s="30" t="s">
        <v>45</v>
      </c>
      <c r="C23" s="31">
        <v>57181.487059999999</v>
      </c>
      <c r="D23" s="31">
        <v>8.9999999999999998E-4</v>
      </c>
      <c r="E23" s="1">
        <f>+(C23-C$21)/C$8</f>
        <v>10350.494384629656</v>
      </c>
      <c r="F23" s="1">
        <f>ROUND(2*E23,0)/2</f>
        <v>10350.5</v>
      </c>
      <c r="G23" s="1">
        <f>+C23-(C$21+F23*C$8)</f>
        <v>-2.4200000043492764E-3</v>
      </c>
      <c r="K23" s="1">
        <f>+G23</f>
        <v>-2.4200000043492764E-3</v>
      </c>
      <c r="O23" s="1">
        <f ca="1">+C$11+C$12*$F23</f>
        <v>-5.4384218937987587E-3</v>
      </c>
      <c r="Q23" s="26">
        <f>+C23-15018.5</f>
        <v>42162.987059999999</v>
      </c>
    </row>
    <row r="24" spans="1:21" x14ac:dyDescent="0.2">
      <c r="A24" s="32" t="s">
        <v>47</v>
      </c>
      <c r="B24" s="33" t="s">
        <v>45</v>
      </c>
      <c r="C24" s="34">
        <v>57902.473850000184</v>
      </c>
      <c r="D24" s="34">
        <v>2.9999999999999997E-4</v>
      </c>
      <c r="E24" s="1">
        <f>+(C24-C$21)/C$8</f>
        <v>12023.472828105116</v>
      </c>
      <c r="F24" s="1">
        <f>ROUND(2*E24,0)/2</f>
        <v>12023.5</v>
      </c>
      <c r="G24" s="1">
        <f>+C24-(C$21+F24*C$8)</f>
        <v>-1.1709999816957861E-2</v>
      </c>
      <c r="K24" s="1">
        <f>+G24</f>
        <v>-1.1709999816957861E-2</v>
      </c>
      <c r="O24" s="1">
        <f ca="1">+C$11+C$12*$F24</f>
        <v>-6.6737311160901466E-3</v>
      </c>
      <c r="Q24" s="26">
        <f>+C24-15018.5</f>
        <v>42883.973850000184</v>
      </c>
    </row>
    <row r="25" spans="1:21" x14ac:dyDescent="0.2">
      <c r="C25" s="25"/>
      <c r="D25" s="25"/>
    </row>
    <row r="26" spans="1:21" x14ac:dyDescent="0.2">
      <c r="C26" s="25"/>
      <c r="D26" s="25"/>
    </row>
    <row r="27" spans="1:21" x14ac:dyDescent="0.2">
      <c r="C27" s="25"/>
      <c r="D27" s="25"/>
    </row>
    <row r="28" spans="1:21" x14ac:dyDescent="0.2">
      <c r="C28" s="25"/>
      <c r="D28" s="25"/>
    </row>
    <row r="29" spans="1:21" x14ac:dyDescent="0.2">
      <c r="C29" s="25"/>
      <c r="D29" s="25"/>
    </row>
    <row r="30" spans="1:21" x14ac:dyDescent="0.2">
      <c r="C30" s="25"/>
      <c r="D30" s="25"/>
    </row>
    <row r="31" spans="1:21" x14ac:dyDescent="0.2">
      <c r="C31" s="25"/>
      <c r="D31" s="25"/>
    </row>
    <row r="32" spans="1:21" x14ac:dyDescent="0.2">
      <c r="C32" s="25"/>
      <c r="D32" s="25"/>
    </row>
    <row r="33" spans="3:4" x14ac:dyDescent="0.2">
      <c r="C33" s="25"/>
      <c r="D33" s="25"/>
    </row>
    <row r="34" spans="3:4" x14ac:dyDescent="0.2">
      <c r="C34" s="25"/>
      <c r="D34" s="25"/>
    </row>
    <row r="35" spans="3:4" x14ac:dyDescent="0.2">
      <c r="C35" s="25"/>
      <c r="D35" s="25"/>
    </row>
    <row r="36" spans="3:4" x14ac:dyDescent="0.2">
      <c r="C36" s="25"/>
      <c r="D36" s="25"/>
    </row>
  </sheetData>
  <sheetProtection selectLockedCells="1" selectUnlockedCells="1"/>
  <sortState xmlns:xlrd2="http://schemas.microsoft.com/office/spreadsheetml/2017/richdata2" ref="A21:Q24">
    <sortCondition ref="C21:C2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2024-02-28T04:50:02Z</dcterms:created>
  <dcterms:modified xsi:type="dcterms:W3CDTF">2024-02-28T04:50:02Z</dcterms:modified>
</cp:coreProperties>
</file>